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dorio\Desktop\"/>
    </mc:Choice>
  </mc:AlternateContent>
  <bookViews>
    <workbookView xWindow="10200" yWindow="90" windowWidth="10080" windowHeight="6285"/>
  </bookViews>
  <sheets>
    <sheet name="19-20 Payscales SoMed App.D 2.9" sheetId="11" r:id="rId1"/>
    <sheet name="19-20 Payscales SoMed App.D" sheetId="9" r:id="rId2"/>
    <sheet name="GME Fee" sheetId="5" r:id="rId3"/>
    <sheet name="FBs FY 20" sheetId="10" r:id="rId4"/>
    <sheet name="18-19 Payscales SoMed App.D" sheetId="7" r:id="rId5"/>
    <sheet name="FY 18 and 19 Stipend Analysis" sheetId="6" r:id="rId6"/>
    <sheet name="17-18 Payscales SoMed App.D" sheetId="8" r:id="rId7"/>
    <sheet name="16-17 Payscales SoMed. App.D" sheetId="4" r:id="rId8"/>
  </sheets>
  <externalReferences>
    <externalReference r:id="rId9"/>
    <externalReference r:id="rId10"/>
  </externalReferences>
  <definedNames>
    <definedName name="__123Graph_ACURRENT" hidden="1">#REF!</definedName>
    <definedName name="__123Graph_BCURRENT" hidden="1">#REF!</definedName>
    <definedName name="__123Graph_CCURRENT" hidden="1">#REF!</definedName>
    <definedName name="__123Graph_XCURRENT" hidden="1">#REF!</definedName>
    <definedName name="_xlnm.Print_Area" localSheetId="7">'16-17 Payscales SoMed. App.D'!$A$1:$G$48</definedName>
    <definedName name="_xlnm.Print_Area">#REF!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D47" i="11" l="1"/>
  <c r="D42" i="11"/>
  <c r="D40" i="11"/>
  <c r="B24" i="11"/>
  <c r="D24" i="11" s="1"/>
  <c r="B23" i="11"/>
  <c r="E23" i="11" s="1"/>
  <c r="B22" i="11"/>
  <c r="F22" i="11" s="1"/>
  <c r="B21" i="11"/>
  <c r="F21" i="11" s="1"/>
  <c r="B20" i="11"/>
  <c r="D20" i="11" s="1"/>
  <c r="B19" i="11"/>
  <c r="E19" i="11" s="1"/>
  <c r="B18" i="11"/>
  <c r="F18" i="11" s="1"/>
  <c r="C13" i="11"/>
  <c r="E20" i="11" l="1"/>
  <c r="C18" i="11"/>
  <c r="D18" i="11"/>
  <c r="E21" i="11"/>
  <c r="C21" i="11"/>
  <c r="C22" i="11"/>
  <c r="E24" i="11"/>
  <c r="D21" i="11"/>
  <c r="D22" i="11"/>
  <c r="C23" i="11"/>
  <c r="F24" i="11"/>
  <c r="F23" i="11"/>
  <c r="E18" i="11"/>
  <c r="D19" i="11"/>
  <c r="C20" i="11"/>
  <c r="E22" i="11"/>
  <c r="D23" i="11"/>
  <c r="C24" i="11"/>
  <c r="B26" i="11"/>
  <c r="F19" i="11"/>
  <c r="C19" i="11"/>
  <c r="F20" i="11"/>
  <c r="H26" i="11" l="1"/>
  <c r="H28" i="11" s="1"/>
  <c r="C26" i="11"/>
  <c r="D26" i="11"/>
  <c r="F26" i="11"/>
  <c r="E26" i="11"/>
  <c r="H26" i="9" l="1"/>
  <c r="B26" i="9"/>
  <c r="E26" i="9" s="1"/>
  <c r="F18" i="9"/>
  <c r="E18" i="9"/>
  <c r="E19" i="9"/>
  <c r="E20" i="9"/>
  <c r="E21" i="9"/>
  <c r="E22" i="9"/>
  <c r="E23" i="9"/>
  <c r="E24" i="9"/>
  <c r="D42" i="9"/>
  <c r="B19" i="9"/>
  <c r="B20" i="9"/>
  <c r="B21" i="9"/>
  <c r="B22" i="9"/>
  <c r="C22" i="9" s="1"/>
  <c r="B23" i="9"/>
  <c r="B24" i="9"/>
  <c r="B18" i="9"/>
  <c r="D47" i="9"/>
  <c r="D40" i="9"/>
  <c r="D24" i="9"/>
  <c r="D21" i="9"/>
  <c r="C21" i="9"/>
  <c r="D20" i="9"/>
  <c r="C13" i="9"/>
  <c r="D22" i="9" l="1"/>
  <c r="C18" i="9"/>
  <c r="D18" i="9"/>
  <c r="F22" i="9"/>
  <c r="F19" i="9"/>
  <c r="F23" i="9"/>
  <c r="C19" i="9"/>
  <c r="C23" i="9"/>
  <c r="F24" i="9"/>
  <c r="F20" i="9"/>
  <c r="D19" i="9"/>
  <c r="C20" i="9"/>
  <c r="F21" i="9"/>
  <c r="D23" i="9"/>
  <c r="C24" i="9"/>
  <c r="H28" i="7"/>
  <c r="H28" i="9" l="1"/>
  <c r="C26" i="9"/>
  <c r="F26" i="9"/>
  <c r="D26" i="9"/>
  <c r="D42" i="8"/>
  <c r="D40" i="8"/>
  <c r="D42" i="7" l="1"/>
  <c r="D40" i="7"/>
  <c r="C13" i="7" l="1"/>
  <c r="C13" i="8"/>
  <c r="D42" i="4" l="1"/>
  <c r="B20" i="5" l="1"/>
  <c r="B19" i="5"/>
  <c r="B18" i="5"/>
  <c r="B17" i="5"/>
  <c r="B10" i="5"/>
  <c r="B9" i="5"/>
  <c r="B5" i="5"/>
  <c r="B4" i="5"/>
  <c r="B3" i="5"/>
  <c r="B2" i="5"/>
  <c r="B22" i="5" l="1"/>
  <c r="B24" i="5" s="1"/>
  <c r="C13" i="4"/>
  <c r="D47" i="7" l="1"/>
  <c r="D47" i="8"/>
  <c r="D47" i="4"/>
  <c r="B19" i="4"/>
  <c r="B19" i="8" s="1"/>
  <c r="B20" i="4"/>
  <c r="B20" i="8" s="1"/>
  <c r="B21" i="4"/>
  <c r="B21" i="8" s="1"/>
  <c r="B22" i="4"/>
  <c r="B22" i="8" s="1"/>
  <c r="B23" i="4"/>
  <c r="B18" i="4"/>
  <c r="B18" i="8" s="1"/>
  <c r="E22" i="8" l="1"/>
  <c r="B22" i="7"/>
  <c r="C22" i="8"/>
  <c r="D22" i="8"/>
  <c r="F22" i="8"/>
  <c r="F21" i="8"/>
  <c r="B21" i="7"/>
  <c r="D21" i="8"/>
  <c r="E21" i="8"/>
  <c r="C21" i="8"/>
  <c r="B18" i="7"/>
  <c r="C18" i="8"/>
  <c r="D18" i="8"/>
  <c r="F18" i="8"/>
  <c r="E18" i="8"/>
  <c r="D20" i="8"/>
  <c r="E20" i="8"/>
  <c r="B20" i="7"/>
  <c r="C20" i="8"/>
  <c r="F20" i="8"/>
  <c r="B24" i="4"/>
  <c r="B24" i="8" s="1"/>
  <c r="B23" i="8"/>
  <c r="B19" i="7"/>
  <c r="E19" i="8"/>
  <c r="D19" i="8"/>
  <c r="C19" i="8"/>
  <c r="F19" i="8"/>
  <c r="B26" i="4"/>
  <c r="D18" i="7" l="1"/>
  <c r="E18" i="7"/>
  <c r="C18" i="7"/>
  <c r="F18" i="7"/>
  <c r="B23" i="7"/>
  <c r="B26" i="7" s="1"/>
  <c r="E23" i="8"/>
  <c r="D23" i="8"/>
  <c r="F23" i="8"/>
  <c r="C23" i="8"/>
  <c r="C20" i="7"/>
  <c r="F20" i="7"/>
  <c r="E20" i="7"/>
  <c r="D20" i="7"/>
  <c r="B26" i="8"/>
  <c r="E21" i="7"/>
  <c r="F21" i="7"/>
  <c r="C21" i="7"/>
  <c r="D21" i="7"/>
  <c r="B24" i="7"/>
  <c r="C24" i="8"/>
  <c r="F24" i="8"/>
  <c r="D24" i="8"/>
  <c r="E24" i="8"/>
  <c r="F22" i="7"/>
  <c r="E22" i="7"/>
  <c r="D22" i="7"/>
  <c r="C22" i="7"/>
  <c r="C19" i="7"/>
  <c r="E19" i="7"/>
  <c r="D19" i="7"/>
  <c r="F19" i="7"/>
  <c r="D40" i="4"/>
  <c r="H26" i="4" s="1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F26" i="8" l="1"/>
  <c r="H26" i="8"/>
  <c r="D26" i="8"/>
  <c r="C26" i="8"/>
  <c r="E26" i="8"/>
  <c r="D26" i="7"/>
  <c r="H26" i="7"/>
  <c r="F26" i="7"/>
  <c r="C26" i="7"/>
  <c r="E26" i="7"/>
  <c r="D23" i="7"/>
  <c r="F23" i="7"/>
  <c r="E23" i="7"/>
  <c r="C23" i="7"/>
  <c r="F24" i="7"/>
  <c r="E24" i="7"/>
  <c r="C24" i="7"/>
  <c r="D24" i="7"/>
  <c r="D24" i="4"/>
  <c r="F26" i="4"/>
  <c r="C24" i="4"/>
  <c r="E24" i="4"/>
  <c r="E26" i="4"/>
  <c r="C26" i="4"/>
  <c r="F18" i="4"/>
  <c r="F19" i="4"/>
  <c r="F20" i="4"/>
  <c r="F21" i="4"/>
  <c r="F22" i="4"/>
  <c r="F23" i="4"/>
  <c r="F24" i="4"/>
  <c r="D26" i="4"/>
</calcChain>
</file>

<file path=xl/sharedStrings.xml><?xml version="1.0" encoding="utf-8"?>
<sst xmlns="http://schemas.openxmlformats.org/spreadsheetml/2006/main" count="250" uniqueCount="88">
  <si>
    <t>HO 1</t>
  </si>
  <si>
    <t>HO 2</t>
  </si>
  <si>
    <t>HO 3</t>
  </si>
  <si>
    <t>HO 4</t>
  </si>
  <si>
    <t>HO 5</t>
  </si>
  <si>
    <t>HO 6</t>
  </si>
  <si>
    <t>Assumptions</t>
  </si>
  <si>
    <t>Hours per day</t>
  </si>
  <si>
    <t>Total Annual Hours</t>
  </si>
  <si>
    <t>Annual</t>
  </si>
  <si>
    <t>Monthly</t>
  </si>
  <si>
    <t>Bi-Weekly</t>
  </si>
  <si>
    <t>Hourly</t>
  </si>
  <si>
    <t>Semi-Monthly</t>
  </si>
  <si>
    <t>APPENDIX D</t>
  </si>
  <si>
    <t>SUPPLEMENT TO AFFILIATION AGREEMENT</t>
  </si>
  <si>
    <t>HO 7</t>
  </si>
  <si>
    <t xml:space="preserve">HO 8, 9 and 10 salaries are based on training program and number of years needed to complete the </t>
  </si>
  <si>
    <t>required residency program prior to entering fellowship program</t>
  </si>
  <si>
    <t>Contact Yolanda Lundsgaard if you have a question about House Officer 8, 9 and 10 salaries.</t>
  </si>
  <si>
    <t>FICA</t>
  </si>
  <si>
    <t>Group Health Insurance</t>
  </si>
  <si>
    <t>Worker's Compensation</t>
  </si>
  <si>
    <t>Total Fringe Benefits</t>
  </si>
  <si>
    <t>Total Per HO</t>
  </si>
  <si>
    <t>Unemployment</t>
  </si>
  <si>
    <t>House Officers work 8 hrs. a day, 7 days a week.</t>
  </si>
  <si>
    <t>Incl. FBs</t>
  </si>
  <si>
    <t>TOTAL ESTIMATED GME FACULTY &amp; STAFF &amp; OTHER DIRECT COST PER HO:</t>
  </si>
  <si>
    <t>HO Average 1-6</t>
  </si>
  <si>
    <t>Post-Doc Fellows FBs</t>
  </si>
  <si>
    <t>(Based on AAMC Survey of Resident/Fellow Stipends and Benefits, 2013-14 Weighted Regional Mean)</t>
  </si>
  <si>
    <t>LSUHSC 2016-2017 House Officer Payscales</t>
  </si>
  <si>
    <t>Number of Days in 2016-17</t>
  </si>
  <si>
    <t>2016-17</t>
  </si>
  <si>
    <t>FY 14 ESTIMATED SOM GME OVERHEAD COST ANALYSIS (includes BATON ROUGE &amp; LAFAYETTE)</t>
  </si>
  <si>
    <r>
      <t xml:space="preserve">GME Team Support (Dr. Hilton, Dr. Frey, Yolanda, 50% Galendez)  </t>
    </r>
    <r>
      <rPr>
        <b/>
        <sz val="10"/>
        <color indexed="10"/>
        <rFont val="Arial"/>
        <family val="2"/>
      </rPr>
      <t xml:space="preserve"> (COVERED BY CONTRACT OVERHEAD &amp; SGF)</t>
    </r>
  </si>
  <si>
    <r>
      <t xml:space="preserve">Residency Program Directors Support (30%) (28.4 FTEs)   </t>
    </r>
    <r>
      <rPr>
        <b/>
        <sz val="10"/>
        <color indexed="10"/>
        <rFont val="Arial"/>
        <family val="2"/>
      </rPr>
      <t>(COVERED BY CONTRACT OVERHEAD &amp; SGF)</t>
    </r>
  </si>
  <si>
    <r>
      <t xml:space="preserve">Residency Program Coordinators Support (100%) 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(COVERED BY CONTRACT OVERHEAD &amp; SGF)</t>
    </r>
  </si>
  <si>
    <r>
      <t xml:space="preserve">Office Space (200 sq ft *($14 lease + $8 util &amp; maint per sq ft)*FTEs </t>
    </r>
    <r>
      <rPr>
        <b/>
        <sz val="10"/>
        <color indexed="10"/>
        <rFont val="Arial"/>
        <family val="2"/>
      </rPr>
      <t xml:space="preserve"> (COVERED BY CONTRACT OVERHEAD &amp; SGF)</t>
    </r>
  </si>
  <si>
    <t>Accreditation Council for Graduate Medical Education Annual Fee</t>
  </si>
  <si>
    <t>NRMP Match Fees</t>
  </si>
  <si>
    <t>GME Learning Center Training (Space, Equipment, Faculty)</t>
  </si>
  <si>
    <t>Program Director Dues (est $750 per program) @ 61 programs</t>
  </si>
  <si>
    <t>New Innovations (Resident Software $78.65 per resident)</t>
  </si>
  <si>
    <t>American General Long Term Disability</t>
  </si>
  <si>
    <t>Department of Medicine - Health Requirement</t>
  </si>
  <si>
    <t>USA Mobility (Resident Pagers $10 per resident per month)</t>
  </si>
  <si>
    <t>GME Incoming HO Orientation</t>
  </si>
  <si>
    <t>State &amp; Local Medical Society Dues (est $60 per resident)</t>
  </si>
  <si>
    <t xml:space="preserve">Individual Association Program Fees (est $150 per resident) </t>
  </si>
  <si>
    <t>Freida/GME Track Fees (est $160 per resident)</t>
  </si>
  <si>
    <t>Recruitment Cost (est $1,500 per resident)</t>
  </si>
  <si>
    <t>Program Director Annual Trip (est $2,500 per PD) @61 programs</t>
  </si>
  <si>
    <t xml:space="preserve">Resident Travel (est $1,000 per trip) </t>
  </si>
  <si>
    <t>TOTAL ESTIMATED GME FACULTY &amp; STAFF &amp; OTHER DIRECT COST</t>
  </si>
  <si>
    <t>NUMBER OF RESIDENTS</t>
  </si>
  <si>
    <t>TOTAL ESTIMATED GME FACULTY &amp; STAFF &amp; OTHER DIRECT COST PER RESIDENT</t>
  </si>
  <si>
    <t>CURRENT FEE</t>
  </si>
  <si>
    <t>LSUHSC 2016-2017 Fringe Benefit Rate Calculation and Fees:</t>
  </si>
  <si>
    <t>RESIDENT ANNUAL STIPEND ANALYSIS</t>
  </si>
  <si>
    <t>LSUHSC</t>
  </si>
  <si>
    <t>AAMC SURVEY MEDIAN</t>
  </si>
  <si>
    <t>OCHSNER</t>
  </si>
  <si>
    <t>CURRENT</t>
  </si>
  <si>
    <t>ALL RESPONDENTS</t>
  </si>
  <si>
    <t>MEDICAL SCHOOLS</t>
  </si>
  <si>
    <t>OTHER NON-PROFITS</t>
  </si>
  <si>
    <t>3.5% 7/1/17</t>
  </si>
  <si>
    <t>3.5% 7/1/18</t>
  </si>
  <si>
    <t>LSUHSC 2017-2018 House Officer Payscales</t>
  </si>
  <si>
    <t>2017-18</t>
  </si>
  <si>
    <t>Increase comp. w FY17</t>
  </si>
  <si>
    <t>Number of Days in 2017-18</t>
  </si>
  <si>
    <t>LSUHSC 2017-2018 Fringe Benefit Rate Calculation and Fees:</t>
  </si>
  <si>
    <t>(Based on AAMC Survey of Resident/Fellow Stipends and Benefits, Weighted Regional Mean)</t>
  </si>
  <si>
    <t>LSUHSC 2018-2019 House Officer Payscales</t>
  </si>
  <si>
    <t>2018-19</t>
  </si>
  <si>
    <t>Number of Days in 2018-19</t>
  </si>
  <si>
    <t>LSUHSC 2018-2019 Fringe Benefit Rate Calculation and Fees:</t>
  </si>
  <si>
    <t>Increase comp. w FY18</t>
  </si>
  <si>
    <t>Incl. FBs &amp; GME Fee</t>
  </si>
  <si>
    <t>LSUHSC 2019-2020 House Officer Payscales</t>
  </si>
  <si>
    <t>2019-20</t>
  </si>
  <si>
    <t>Number of Days in 2019-20</t>
  </si>
  <si>
    <t>Increase comp. TBD</t>
  </si>
  <si>
    <t>LSUHSC 2019-2020 Fringe Benefit Rate Calculation and Fees:</t>
  </si>
  <si>
    <t>Proposed Annual Increase HOs: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</si>
</sst>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  <numFmt numFmtId="167" formatCode="_(&quot;$&quot;* #,##0_);_(&quot;$&quot;* \(#,##0\);_(&quot;$&quot;* &quot;-&quot;??_);_(@_)"/>
  </numFmts>
  <fonts count="20" x14ac:knownFonts="1">
    <font>
      <sz val="12"/>
      <name val="Arial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  <font>
      <sz val="11"/>
      <color rgb="FF1F497D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9" fillId="0" borderId="0"/>
    <xf numFmtId="9" fontId="9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 applyProtection="1"/>
    <xf numFmtId="0" fontId="2" fillId="0" borderId="0" xfId="0" applyFont="1" applyProtection="1"/>
    <xf numFmtId="7" fontId="2" fillId="0" borderId="0" xfId="0" applyNumberFormat="1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7" fontId="3" fillId="0" borderId="1" xfId="0" applyNumberFormat="1" applyFont="1" applyBorder="1" applyProtection="1"/>
    <xf numFmtId="7" fontId="2" fillId="0" borderId="0" xfId="0" applyNumberFormat="1" applyFont="1"/>
    <xf numFmtId="164" fontId="2" fillId="0" borderId="0" xfId="0" applyNumberFormat="1" applyFont="1"/>
    <xf numFmtId="44" fontId="2" fillId="0" borderId="0" xfId="1" applyFont="1"/>
    <xf numFmtId="0" fontId="5" fillId="0" borderId="0" xfId="0" applyFont="1"/>
    <xf numFmtId="0" fontId="7" fillId="0" borderId="0" xfId="0" applyFont="1" applyProtection="1"/>
    <xf numFmtId="0" fontId="8" fillId="0" borderId="0" xfId="0" applyFont="1"/>
    <xf numFmtId="7" fontId="7" fillId="0" borderId="1" xfId="0" applyNumberFormat="1" applyFont="1" applyBorder="1" applyProtection="1"/>
    <xf numFmtId="7" fontId="7" fillId="2" borderId="1" xfId="0" applyNumberFormat="1" applyFont="1" applyFill="1" applyBorder="1" applyProtection="1"/>
    <xf numFmtId="164" fontId="2" fillId="2" borderId="0" xfId="0" applyNumberFormat="1" applyFont="1" applyFill="1"/>
    <xf numFmtId="0" fontId="2" fillId="0" borderId="0" xfId="0" applyFont="1" applyAlignment="1"/>
    <xf numFmtId="44" fontId="2" fillId="2" borderId="0" xfId="1" applyFont="1" applyFill="1"/>
    <xf numFmtId="0" fontId="2" fillId="2" borderId="0" xfId="0" applyFont="1" applyFill="1"/>
    <xf numFmtId="10" fontId="2" fillId="2" borderId="0" xfId="2" applyNumberFormat="1" applyFont="1" applyFill="1"/>
    <xf numFmtId="0" fontId="11" fillId="0" borderId="0" xfId="0" applyFont="1" applyProtection="1"/>
    <xf numFmtId="164" fontId="2" fillId="0" borderId="0" xfId="0" applyNumberFormat="1" applyFont="1" applyFill="1"/>
    <xf numFmtId="164" fontId="5" fillId="0" borderId="0" xfId="2" applyNumberFormat="1" applyFont="1"/>
    <xf numFmtId="0" fontId="12" fillId="0" borderId="2" xfId="3" applyFont="1" applyBorder="1"/>
    <xf numFmtId="165" fontId="1" fillId="0" borderId="3" xfId="3" applyNumberFormat="1" applyBorder="1"/>
    <xf numFmtId="0" fontId="1" fillId="0" borderId="0" xfId="3"/>
    <xf numFmtId="0" fontId="1" fillId="0" borderId="4" xfId="3" applyFont="1" applyBorder="1"/>
    <xf numFmtId="165" fontId="14" fillId="0" borderId="5" xfId="3" applyNumberFormat="1" applyFont="1" applyBorder="1"/>
    <xf numFmtId="0" fontId="1" fillId="0" borderId="4" xfId="3" applyBorder="1"/>
    <xf numFmtId="165" fontId="14" fillId="2" borderId="5" xfId="3" applyNumberFormat="1" applyFont="1" applyFill="1" applyBorder="1"/>
    <xf numFmtId="0" fontId="12" fillId="0" borderId="4" xfId="3" applyFont="1" applyBorder="1"/>
    <xf numFmtId="3" fontId="14" fillId="0" borderId="5" xfId="3" applyNumberFormat="1" applyFont="1" applyBorder="1"/>
    <xf numFmtId="166" fontId="15" fillId="2" borderId="5" xfId="3" applyNumberFormat="1" applyFont="1" applyFill="1" applyBorder="1"/>
    <xf numFmtId="0" fontId="12" fillId="0" borderId="6" xfId="3" applyFont="1" applyFill="1" applyBorder="1"/>
    <xf numFmtId="165" fontId="1" fillId="0" borderId="0" xfId="3" applyNumberFormat="1"/>
    <xf numFmtId="0" fontId="1" fillId="0" borderId="0" xfId="3" applyFont="1" applyFill="1" applyBorder="1"/>
    <xf numFmtId="44" fontId="5" fillId="2" borderId="0" xfId="0" applyNumberFormat="1" applyFont="1" applyFill="1"/>
    <xf numFmtId="166" fontId="14" fillId="0" borderId="7" xfId="3" applyNumberFormat="1" applyFont="1" applyBorder="1"/>
    <xf numFmtId="0" fontId="16" fillId="0" borderId="0" xfId="0" applyFont="1"/>
    <xf numFmtId="164" fontId="16" fillId="0" borderId="0" xfId="0" applyNumberFormat="1" applyFont="1"/>
    <xf numFmtId="0" fontId="17" fillId="0" borderId="0" xfId="0" applyFont="1" applyAlignment="1">
      <alignment vertical="center"/>
    </xf>
    <xf numFmtId="0" fontId="18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2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2" borderId="16" xfId="0" applyFont="1" applyFill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6" fontId="19" fillId="2" borderId="19" xfId="0" applyNumberFormat="1" applyFont="1" applyFill="1" applyBorder="1" applyAlignment="1">
      <alignment horizontal="right" vertical="center"/>
    </xf>
    <xf numFmtId="6" fontId="19" fillId="0" borderId="19" xfId="0" applyNumberFormat="1" applyFont="1" applyBorder="1" applyAlignment="1">
      <alignment horizontal="right" vertical="center"/>
    </xf>
    <xf numFmtId="6" fontId="19" fillId="2" borderId="20" xfId="0" applyNumberFormat="1" applyFont="1" applyFill="1" applyBorder="1" applyAlignment="1">
      <alignment horizontal="right" vertical="center"/>
    </xf>
    <xf numFmtId="0" fontId="6" fillId="0" borderId="0" xfId="0" applyFont="1" applyProtection="1"/>
    <xf numFmtId="10" fontId="6" fillId="0" borderId="0" xfId="0" applyNumberFormat="1" applyFont="1" applyAlignment="1" applyProtection="1">
      <alignment horizontal="left"/>
    </xf>
    <xf numFmtId="167" fontId="2" fillId="0" borderId="0" xfId="1" applyNumberFormat="1" applyFont="1"/>
    <xf numFmtId="0" fontId="2" fillId="0" borderId="0" xfId="0" applyFont="1" applyFill="1"/>
    <xf numFmtId="10" fontId="2" fillId="0" borderId="0" xfId="2" applyNumberFormat="1" applyFont="1" applyFill="1"/>
    <xf numFmtId="0" fontId="2" fillId="0" borderId="0" xfId="4" applyFont="1" applyAlignment="1"/>
    <xf numFmtId="0" fontId="2" fillId="0" borderId="0" xfId="4" applyFont="1"/>
    <xf numFmtId="10" fontId="2" fillId="2" borderId="0" xfId="4" applyNumberFormat="1" applyFont="1" applyFill="1"/>
    <xf numFmtId="0" fontId="3" fillId="0" borderId="0" xfId="4" applyFont="1" applyProtection="1"/>
    <xf numFmtId="0" fontId="2" fillId="0" borderId="0" xfId="4" applyFont="1" applyProtection="1"/>
    <xf numFmtId="0" fontId="11" fillId="0" borderId="0" xfId="4" applyFont="1" applyProtection="1"/>
    <xf numFmtId="7" fontId="2" fillId="0" borderId="0" xfId="4" applyNumberFormat="1" applyFont="1" applyProtection="1"/>
    <xf numFmtId="0" fontId="6" fillId="0" borderId="0" xfId="4" applyFont="1" applyProtection="1"/>
    <xf numFmtId="0" fontId="3" fillId="0" borderId="0" xfId="4" applyFont="1" applyAlignment="1" applyProtection="1">
      <alignment horizontal="center"/>
    </xf>
    <xf numFmtId="10" fontId="6" fillId="0" borderId="0" xfId="4" applyNumberFormat="1" applyFont="1" applyAlignment="1" applyProtection="1">
      <alignment horizontal="left"/>
    </xf>
    <xf numFmtId="0" fontId="4" fillId="0" borderId="0" xfId="4" applyFont="1" applyAlignment="1" applyProtection="1">
      <alignment horizontal="center"/>
    </xf>
    <xf numFmtId="7" fontId="3" fillId="0" borderId="1" xfId="4" applyNumberFormat="1" applyFont="1" applyBorder="1" applyProtection="1"/>
    <xf numFmtId="7" fontId="2" fillId="0" borderId="0" xfId="4" applyNumberFormat="1" applyFont="1"/>
    <xf numFmtId="0" fontId="7" fillId="0" borderId="0" xfId="4" applyFont="1" applyProtection="1"/>
    <xf numFmtId="7" fontId="7" fillId="0" borderId="1" xfId="4" applyNumberFormat="1" applyFont="1" applyBorder="1" applyProtection="1"/>
    <xf numFmtId="0" fontId="5" fillId="0" borderId="0" xfId="4" applyFont="1"/>
    <xf numFmtId="7" fontId="7" fillId="2" borderId="1" xfId="4" applyNumberFormat="1" applyFont="1" applyFill="1" applyBorder="1" applyProtection="1"/>
    <xf numFmtId="0" fontId="2" fillId="0" borderId="0" xfId="4" applyFont="1" applyFill="1"/>
    <xf numFmtId="10" fontId="2" fillId="0" borderId="0" xfId="5" applyNumberFormat="1" applyFont="1" applyFill="1"/>
    <xf numFmtId="164" fontId="2" fillId="2" borderId="0" xfId="4" applyNumberFormat="1" applyFont="1" applyFill="1"/>
    <xf numFmtId="164" fontId="2" fillId="0" borderId="0" xfId="4" applyNumberFormat="1" applyFont="1"/>
    <xf numFmtId="0" fontId="16" fillId="0" borderId="0" xfId="4" applyFont="1"/>
    <xf numFmtId="164" fontId="16" fillId="0" borderId="0" xfId="4" applyNumberFormat="1" applyFont="1"/>
    <xf numFmtId="164" fontId="5" fillId="0" borderId="0" xfId="5" applyNumberFormat="1" applyFont="1"/>
    <xf numFmtId="44" fontId="5" fillId="2" borderId="0" xfId="4" applyNumberFormat="1" applyFont="1" applyFill="1"/>
    <xf numFmtId="0" fontId="2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7" fillId="0" borderId="0" xfId="4" applyFont="1" applyAlignment="1" applyProtection="1">
      <alignment horizontal="center"/>
    </xf>
    <xf numFmtId="0" fontId="6" fillId="0" borderId="0" xfId="4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8" fillId="0" borderId="2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</cellXfs>
  <cellStyles count="6">
    <cellStyle name="Currency" xfId="1" builtinId="4"/>
    <cellStyle name="Normal" xfId="0" builtinId="0"/>
    <cellStyle name="Normal 15" xfId="4"/>
    <cellStyle name="Normal 3" xfId="3"/>
    <cellStyle name="Percent" xfId="2" builtinId="5"/>
    <cellStyle name="Per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666750</xdr:colOff>
          <xdr:row>33</xdr:row>
          <xdr:rowOff>123825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M%20Fiscal%20Affairs\FY%2019-20\GME\FY20%20HO%20Payscales%20AAMC%20FBs%20New%20GME%20Full%20Pend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inance%20&amp;%20Administration\Contract%20Processing\FY%2018-19\House%20Officer%20Pay%20Increase%20FY%202014-15%20using%20Overall%20Regional%20Me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-20 Payscales SoMed App.D"/>
      <sheetName val="GME Fee"/>
      <sheetName val="FBs FY 20"/>
      <sheetName val="18-19 Payscales SoMed App.D"/>
      <sheetName val="FY 18 and 19 Stipend Analysis"/>
      <sheetName val="17-18 Payscales SoMed App.D"/>
      <sheetName val="16-17 Payscales SoMed. App.D"/>
    </sheetNames>
    <sheetDataSet>
      <sheetData sheetId="0"/>
      <sheetData sheetId="1">
        <row r="15">
          <cell r="B15">
            <v>49200</v>
          </cell>
        </row>
        <row r="24">
          <cell r="B24">
            <v>3723</v>
          </cell>
        </row>
      </sheetData>
      <sheetData sheetId="2"/>
      <sheetData sheetId="3">
        <row r="9">
          <cell r="B9"/>
        </row>
        <row r="18">
          <cell r="B18">
            <v>51769.090574999995</v>
          </cell>
        </row>
        <row r="19">
          <cell r="B19">
            <v>53504.475074999995</v>
          </cell>
        </row>
        <row r="20">
          <cell r="B20">
            <v>55335.198599999996</v>
          </cell>
        </row>
        <row r="21">
          <cell r="B21">
            <v>57469.078799999988</v>
          </cell>
        </row>
        <row r="22">
          <cell r="B22">
            <v>59899.688324999988</v>
          </cell>
        </row>
        <row r="23">
          <cell r="B23">
            <v>62496.33772499999</v>
          </cell>
        </row>
        <row r="24">
          <cell r="B24">
            <v>62496.33772499999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 Levels"/>
      <sheetName val="Stipend Request"/>
    </sheetNames>
    <sheetDataSet>
      <sheetData sheetId="0" refreshError="1"/>
      <sheetData sheetId="1" refreshError="1">
        <row r="9">
          <cell r="L9">
            <v>48327</v>
          </cell>
        </row>
        <row r="10">
          <cell r="L10">
            <v>49947</v>
          </cell>
        </row>
        <row r="11">
          <cell r="L11">
            <v>51656</v>
          </cell>
        </row>
        <row r="12">
          <cell r="L12">
            <v>53648</v>
          </cell>
        </row>
        <row r="13">
          <cell r="L13">
            <v>55917</v>
          </cell>
        </row>
        <row r="14">
          <cell r="L14">
            <v>58341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="60" zoomScaleNormal="75" workbookViewId="0">
      <selection activeCell="A15" sqref="A15"/>
    </sheetView>
  </sheetViews>
  <sheetFormatPr defaultRowHeight="14.25" x14ac:dyDescent="0.2"/>
  <cols>
    <col min="1" max="1" width="16.6640625" style="64" customWidth="1"/>
    <col min="2" max="2" width="12.88671875" style="64" customWidth="1"/>
    <col min="3" max="3" width="11.21875" style="64" customWidth="1"/>
    <col min="4" max="4" width="13.44140625" style="64" customWidth="1"/>
    <col min="5" max="6" width="11.21875" style="64" customWidth="1"/>
    <col min="7" max="7" width="3.33203125" style="64" customWidth="1"/>
    <col min="8" max="8" width="14.33203125" style="64" customWidth="1"/>
    <col min="9" max="9" width="8.88671875" style="64"/>
    <col min="10" max="10" width="10.6640625" style="64" customWidth="1"/>
    <col min="11" max="16384" width="8.88671875" style="64"/>
  </cols>
  <sheetData>
    <row r="1" spans="1:10" x14ac:dyDescent="0.2">
      <c r="A1" s="88" t="s">
        <v>14</v>
      </c>
      <c r="B1" s="88"/>
      <c r="C1" s="88"/>
      <c r="D1" s="88"/>
      <c r="E1" s="88"/>
      <c r="F1" s="88"/>
      <c r="G1" s="88"/>
      <c r="H1" s="63"/>
    </row>
    <row r="2" spans="1:10" x14ac:dyDescent="0.2">
      <c r="A2" s="88" t="s">
        <v>15</v>
      </c>
      <c r="B2" s="88"/>
      <c r="C2" s="88"/>
      <c r="D2" s="88"/>
      <c r="E2" s="88"/>
      <c r="F2" s="88"/>
      <c r="G2" s="88"/>
      <c r="H2" s="63"/>
    </row>
    <row r="3" spans="1:10" ht="15" x14ac:dyDescent="0.25">
      <c r="A3" s="89"/>
      <c r="B3" s="89"/>
      <c r="C3" s="89"/>
      <c r="D3" s="89"/>
      <c r="E3" s="89"/>
      <c r="F3" s="89"/>
      <c r="G3" s="89"/>
    </row>
    <row r="5" spans="1:10" x14ac:dyDescent="0.2">
      <c r="A5" s="64" t="s">
        <v>87</v>
      </c>
      <c r="C5" s="65">
        <v>2.9000000000000001E-2</v>
      </c>
    </row>
    <row r="7" spans="1:10" ht="15" x14ac:dyDescent="0.25">
      <c r="A7" s="90" t="s">
        <v>82</v>
      </c>
      <c r="B7" s="90"/>
      <c r="C7" s="90"/>
      <c r="D7" s="90"/>
      <c r="E7" s="90"/>
      <c r="F7" s="90"/>
      <c r="G7" s="90"/>
      <c r="H7" s="66"/>
      <c r="I7" s="66"/>
      <c r="J7" s="66"/>
    </row>
    <row r="8" spans="1:10" x14ac:dyDescent="0.2">
      <c r="A8" s="91" t="s">
        <v>75</v>
      </c>
      <c r="B8" s="91"/>
      <c r="C8" s="91"/>
      <c r="D8" s="91"/>
      <c r="E8" s="91"/>
      <c r="F8" s="91"/>
      <c r="G8" s="91"/>
      <c r="H8" s="66"/>
      <c r="I8" s="66"/>
      <c r="J8" s="66"/>
    </row>
    <row r="9" spans="1:10" x14ac:dyDescent="0.2">
      <c r="A9" s="67"/>
      <c r="B9" s="67"/>
      <c r="C9" s="67"/>
      <c r="D9" s="67"/>
      <c r="E9" s="67"/>
      <c r="F9" s="67"/>
      <c r="G9" s="67"/>
      <c r="H9" s="67"/>
      <c r="I9" s="67"/>
      <c r="J9" s="67"/>
    </row>
    <row r="10" spans="1:10" x14ac:dyDescent="0.2">
      <c r="A10" s="66" t="s">
        <v>6</v>
      </c>
      <c r="B10" s="66"/>
      <c r="C10" s="66"/>
      <c r="D10" s="66"/>
      <c r="E10" s="66"/>
      <c r="F10" s="66"/>
      <c r="G10" s="66"/>
      <c r="H10" s="66"/>
      <c r="I10" s="66"/>
      <c r="J10" s="66"/>
    </row>
    <row r="11" spans="1:10" x14ac:dyDescent="0.2">
      <c r="A11" s="66" t="s">
        <v>84</v>
      </c>
      <c r="B11" s="66"/>
      <c r="C11" s="68">
        <v>366</v>
      </c>
      <c r="D11" s="66"/>
      <c r="E11" s="66"/>
      <c r="F11" s="66"/>
      <c r="G11" s="66"/>
      <c r="H11" s="66"/>
      <c r="I11" s="66"/>
      <c r="J11" s="66"/>
    </row>
    <row r="12" spans="1:10" x14ac:dyDescent="0.2">
      <c r="A12" s="66" t="s">
        <v>7</v>
      </c>
      <c r="B12" s="66"/>
      <c r="C12" s="66">
        <v>8</v>
      </c>
      <c r="D12" s="66" t="s">
        <v>26</v>
      </c>
      <c r="E12" s="66"/>
      <c r="F12" s="66"/>
      <c r="G12" s="66"/>
      <c r="H12" s="66"/>
      <c r="I12" s="66"/>
      <c r="J12" s="66"/>
    </row>
    <row r="13" spans="1:10" x14ac:dyDescent="0.2">
      <c r="A13" s="66" t="s">
        <v>8</v>
      </c>
      <c r="B13" s="66"/>
      <c r="C13" s="66">
        <f>+C11*C12</f>
        <v>2928</v>
      </c>
      <c r="D13" s="66"/>
      <c r="E13" s="66"/>
      <c r="F13" s="66"/>
      <c r="G13" s="66"/>
      <c r="H13" s="66"/>
      <c r="I13" s="66"/>
      <c r="J13" s="66"/>
    </row>
    <row r="14" spans="1:10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9"/>
    </row>
    <row r="15" spans="1:10" x14ac:dyDescent="0.2">
      <c r="A15" s="70"/>
      <c r="B15" s="71" t="s">
        <v>83</v>
      </c>
      <c r="C15" s="71" t="s">
        <v>83</v>
      </c>
      <c r="D15" s="71" t="s">
        <v>83</v>
      </c>
      <c r="E15" s="71" t="s">
        <v>83</v>
      </c>
      <c r="F15" s="71" t="s">
        <v>83</v>
      </c>
    </row>
    <row r="16" spans="1:10" x14ac:dyDescent="0.2">
      <c r="A16" s="72"/>
      <c r="B16" s="73" t="s">
        <v>9</v>
      </c>
      <c r="C16" s="73" t="s">
        <v>10</v>
      </c>
      <c r="D16" s="73" t="s">
        <v>13</v>
      </c>
      <c r="E16" s="73" t="s">
        <v>11</v>
      </c>
      <c r="F16" s="73" t="s">
        <v>12</v>
      </c>
    </row>
    <row r="17" spans="1:11" x14ac:dyDescent="0.2">
      <c r="A17" s="66"/>
      <c r="B17" s="66"/>
      <c r="C17" s="66"/>
      <c r="D17" s="66"/>
      <c r="E17" s="66"/>
      <c r="F17" s="66"/>
    </row>
    <row r="18" spans="1:11" x14ac:dyDescent="0.2">
      <c r="A18" s="66" t="s">
        <v>0</v>
      </c>
      <c r="B18" s="74">
        <f>+'[1]18-19 Payscales SoMed App.D'!B18*(100%+$C$5)</f>
        <v>53270.394201674993</v>
      </c>
      <c r="C18" s="74">
        <f>+B18/12</f>
        <v>4439.1995168062494</v>
      </c>
      <c r="D18" s="74">
        <f>+B18/12/2</f>
        <v>2219.5997584031247</v>
      </c>
      <c r="E18" s="74">
        <f>+B18/($C$11/7)*2</f>
        <v>2037.6653519766392</v>
      </c>
      <c r="F18" s="74">
        <f>+B18/$C$13</f>
        <v>18.193440642648564</v>
      </c>
      <c r="G18" s="75"/>
    </row>
    <row r="19" spans="1:11" x14ac:dyDescent="0.2">
      <c r="A19" s="66" t="s">
        <v>1</v>
      </c>
      <c r="B19" s="74">
        <f>+'[1]18-19 Payscales SoMed App.D'!B19*(100%+$C$5)</f>
        <v>55056.104852174991</v>
      </c>
      <c r="C19" s="74">
        <f t="shared" ref="C19:C24" si="0">+B19/12</f>
        <v>4588.0087376812489</v>
      </c>
      <c r="D19" s="74">
        <f t="shared" ref="D19:D24" si="1">+B19/12/2</f>
        <v>2294.0043688406245</v>
      </c>
      <c r="E19" s="74">
        <f t="shared" ref="E19:E24" si="2">+B19/($C$11/7)*2</f>
        <v>2105.9712238536881</v>
      </c>
      <c r="F19" s="74">
        <f t="shared" ref="F19:F24" si="3">+B19/$C$13</f>
        <v>18.803314498693645</v>
      </c>
    </row>
    <row r="20" spans="1:11" x14ac:dyDescent="0.2">
      <c r="A20" s="66" t="s">
        <v>2</v>
      </c>
      <c r="B20" s="74">
        <f>+'[1]18-19 Payscales SoMed App.D'!B20*(100%+$C$5)</f>
        <v>56939.919359399988</v>
      </c>
      <c r="C20" s="74">
        <f t="shared" si="0"/>
        <v>4744.9932799499993</v>
      </c>
      <c r="D20" s="74">
        <f t="shared" si="1"/>
        <v>2372.4966399749997</v>
      </c>
      <c r="E20" s="74">
        <f t="shared" si="2"/>
        <v>2178.0297022721306</v>
      </c>
      <c r="F20" s="74">
        <f t="shared" si="3"/>
        <v>19.446693770286881</v>
      </c>
    </row>
    <row r="21" spans="1:11" x14ac:dyDescent="0.2">
      <c r="A21" s="66" t="s">
        <v>3</v>
      </c>
      <c r="B21" s="74">
        <f>+'[1]18-19 Payscales SoMed App.D'!B21*(100%+$C$5)</f>
        <v>59135.68208519998</v>
      </c>
      <c r="C21" s="74">
        <f t="shared" si="0"/>
        <v>4927.9735070999986</v>
      </c>
      <c r="D21" s="74">
        <f t="shared" si="1"/>
        <v>2463.9867535499993</v>
      </c>
      <c r="E21" s="74">
        <f t="shared" si="2"/>
        <v>2262.0206262098354</v>
      </c>
      <c r="F21" s="74">
        <f t="shared" si="3"/>
        <v>20.196612734016387</v>
      </c>
    </row>
    <row r="22" spans="1:11" x14ac:dyDescent="0.2">
      <c r="A22" s="66" t="s">
        <v>4</v>
      </c>
      <c r="B22" s="74">
        <f>+'[1]18-19 Payscales SoMed App.D'!B22*(100%+$C$5)</f>
        <v>61636.779286424986</v>
      </c>
      <c r="C22" s="74">
        <f t="shared" si="0"/>
        <v>5136.3982738687491</v>
      </c>
      <c r="D22" s="74">
        <f t="shared" si="1"/>
        <v>2568.1991369343746</v>
      </c>
      <c r="E22" s="74">
        <f t="shared" si="2"/>
        <v>2357.6910109561472</v>
      </c>
      <c r="F22" s="74">
        <f t="shared" si="3"/>
        <v>21.050812597822741</v>
      </c>
    </row>
    <row r="23" spans="1:11" x14ac:dyDescent="0.2">
      <c r="A23" s="66" t="s">
        <v>5</v>
      </c>
      <c r="B23" s="74">
        <f>+'[1]18-19 Payscales SoMed App.D'!B23*(100%+$C$5)</f>
        <v>64308.731519024986</v>
      </c>
      <c r="C23" s="74">
        <f t="shared" si="0"/>
        <v>5359.0609599187492</v>
      </c>
      <c r="D23" s="74">
        <f t="shared" si="1"/>
        <v>2679.5304799593746</v>
      </c>
      <c r="E23" s="74">
        <f t="shared" si="2"/>
        <v>2459.896834061065</v>
      </c>
      <c r="F23" s="74">
        <f t="shared" si="3"/>
        <v>21.963364589830938</v>
      </c>
    </row>
    <row r="24" spans="1:11" x14ac:dyDescent="0.2">
      <c r="A24" s="66" t="s">
        <v>16</v>
      </c>
      <c r="B24" s="74">
        <f>+'[1]18-19 Payscales SoMed App.D'!B24*(100%+$C$5)</f>
        <v>64308.731519024986</v>
      </c>
      <c r="C24" s="74">
        <f t="shared" si="0"/>
        <v>5359.0609599187492</v>
      </c>
      <c r="D24" s="74">
        <f t="shared" si="1"/>
        <v>2679.5304799593746</v>
      </c>
      <c r="E24" s="74">
        <f t="shared" si="2"/>
        <v>2459.896834061065</v>
      </c>
      <c r="F24" s="74">
        <f t="shared" si="3"/>
        <v>21.963364589830938</v>
      </c>
    </row>
    <row r="25" spans="1:11" x14ac:dyDescent="0.2">
      <c r="E25" s="75"/>
      <c r="H25" s="64" t="s">
        <v>27</v>
      </c>
    </row>
    <row r="26" spans="1:11" s="78" customFormat="1" ht="15" x14ac:dyDescent="0.25">
      <c r="A26" s="76" t="s">
        <v>29</v>
      </c>
      <c r="B26" s="77">
        <f>ROUND(AVERAGE(B18:B23), 0)</f>
        <v>58391</v>
      </c>
      <c r="C26" s="77">
        <f t="shared" ref="C26" si="4">+B26/12</f>
        <v>4865.916666666667</v>
      </c>
      <c r="D26" s="77">
        <f t="shared" ref="D26" si="5">+B26/12/2</f>
        <v>2432.9583333333335</v>
      </c>
      <c r="E26" s="77">
        <f>+B26/($C$11/7)*2</f>
        <v>2233.5355191256831</v>
      </c>
      <c r="F26" s="77">
        <f t="shared" ref="F26" si="6">+B26/$C$13</f>
        <v>19.942281420765028</v>
      </c>
      <c r="H26" s="79">
        <f>+B26*(100%+D40)</f>
        <v>66332.176000000007</v>
      </c>
      <c r="J26" s="75"/>
    </row>
    <row r="27" spans="1:11" x14ac:dyDescent="0.2">
      <c r="E27" s="75"/>
      <c r="H27" s="64" t="s">
        <v>81</v>
      </c>
      <c r="J27" s="75"/>
    </row>
    <row r="28" spans="1:11" ht="15" x14ac:dyDescent="0.25">
      <c r="A28" s="64" t="s">
        <v>17</v>
      </c>
      <c r="H28" s="79">
        <f>+H26+D47</f>
        <v>70055.176000000007</v>
      </c>
      <c r="I28" s="80"/>
      <c r="J28" s="81"/>
      <c r="K28" s="80"/>
    </row>
    <row r="29" spans="1:11" x14ac:dyDescent="0.2">
      <c r="A29" s="64" t="s">
        <v>18</v>
      </c>
    </row>
    <row r="31" spans="1:11" x14ac:dyDescent="0.2">
      <c r="A31" s="64" t="s">
        <v>19</v>
      </c>
      <c r="H31" s="75"/>
    </row>
    <row r="34" spans="1:4" x14ac:dyDescent="0.2">
      <c r="B34" s="64" t="s">
        <v>86</v>
      </c>
    </row>
    <row r="36" spans="1:4" x14ac:dyDescent="0.2">
      <c r="B36" s="64" t="s">
        <v>20</v>
      </c>
      <c r="D36" s="82">
        <v>2.9000000000000001E-2</v>
      </c>
    </row>
    <row r="37" spans="1:4" x14ac:dyDescent="0.2">
      <c r="B37" s="64" t="s">
        <v>25</v>
      </c>
      <c r="D37" s="83">
        <v>0</v>
      </c>
    </row>
    <row r="38" spans="1:4" x14ac:dyDescent="0.2">
      <c r="B38" s="64" t="s">
        <v>21</v>
      </c>
      <c r="D38" s="82">
        <v>0.10100000000000001</v>
      </c>
    </row>
    <row r="39" spans="1:4" x14ac:dyDescent="0.2">
      <c r="B39" s="64" t="s">
        <v>22</v>
      </c>
      <c r="D39" s="82">
        <v>6.0000000000000001E-3</v>
      </c>
    </row>
    <row r="40" spans="1:4" ht="15" x14ac:dyDescent="0.25">
      <c r="B40" s="84" t="s">
        <v>23</v>
      </c>
      <c r="C40" s="84"/>
      <c r="D40" s="85">
        <f>SUM(D36:D39)</f>
        <v>0.13600000000000001</v>
      </c>
    </row>
    <row r="42" spans="1:4" ht="15" x14ac:dyDescent="0.25">
      <c r="B42" s="78" t="s">
        <v>30</v>
      </c>
      <c r="C42" s="78"/>
      <c r="D42" s="86">
        <f>4%+0.1%+13.2%+0.6%</f>
        <v>0.17900000000000002</v>
      </c>
    </row>
    <row r="43" spans="1:4" x14ac:dyDescent="0.2">
      <c r="D43" s="10"/>
    </row>
    <row r="44" spans="1:4" x14ac:dyDescent="0.2">
      <c r="D44" s="10"/>
    </row>
    <row r="45" spans="1:4" x14ac:dyDescent="0.2">
      <c r="A45" s="64" t="s">
        <v>28</v>
      </c>
      <c r="D45" s="10"/>
    </row>
    <row r="47" spans="1:4" ht="15" x14ac:dyDescent="0.25">
      <c r="B47" s="78" t="s">
        <v>24</v>
      </c>
      <c r="D47" s="87">
        <f>ROUND('[1]GME Fee'!B24, 0)</f>
        <v>3723</v>
      </c>
    </row>
    <row r="48" spans="1:4" ht="15" x14ac:dyDescent="0.25">
      <c r="C48" s="78"/>
    </row>
  </sheetData>
  <mergeCells count="5">
    <mergeCell ref="A1:G1"/>
    <mergeCell ref="A2:G2"/>
    <mergeCell ref="A3:G3"/>
    <mergeCell ref="A7:G7"/>
    <mergeCell ref="A8:G8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8"/>
  <sheetViews>
    <sheetView view="pageBreakPreview" zoomScale="60" zoomScaleNormal="100" workbookViewId="0">
      <selection activeCell="I27" sqref="I27"/>
    </sheetView>
  </sheetViews>
  <sheetFormatPr defaultRowHeight="14.25" x14ac:dyDescent="0.2"/>
  <cols>
    <col min="1" max="1" width="16.6640625" style="1" customWidth="1"/>
    <col min="2" max="2" width="12.88671875" style="1" customWidth="1"/>
    <col min="3" max="3" width="11.21875" style="1" customWidth="1"/>
    <col min="4" max="4" width="13.44140625" style="1" customWidth="1"/>
    <col min="5" max="6" width="11.21875" style="1" customWidth="1"/>
    <col min="7" max="7" width="3.33203125" style="1" customWidth="1"/>
    <col min="8" max="8" width="14.33203125" style="1" customWidth="1"/>
    <col min="9" max="9" width="8.88671875" style="1"/>
    <col min="10" max="10" width="10.6640625" style="1" customWidth="1"/>
    <col min="11" max="16384" width="8.88671875" style="1"/>
  </cols>
  <sheetData>
    <row r="1" spans="1:10" x14ac:dyDescent="0.2">
      <c r="A1" s="92" t="s">
        <v>14</v>
      </c>
      <c r="B1" s="92"/>
      <c r="C1" s="92"/>
      <c r="D1" s="92"/>
      <c r="E1" s="92"/>
      <c r="F1" s="92"/>
      <c r="G1" s="92"/>
      <c r="H1" s="17"/>
    </row>
    <row r="2" spans="1:10" x14ac:dyDescent="0.2">
      <c r="A2" s="92" t="s">
        <v>15</v>
      </c>
      <c r="B2" s="92"/>
      <c r="C2" s="92"/>
      <c r="D2" s="92"/>
      <c r="E2" s="92"/>
      <c r="F2" s="92"/>
      <c r="G2" s="92"/>
      <c r="H2" s="17"/>
    </row>
    <row r="3" spans="1:10" ht="15" x14ac:dyDescent="0.25">
      <c r="A3" s="93"/>
      <c r="B3" s="93"/>
      <c r="C3" s="93"/>
      <c r="D3" s="93"/>
      <c r="E3" s="93"/>
      <c r="F3" s="93"/>
      <c r="G3" s="93"/>
    </row>
    <row r="7" spans="1:10" ht="15" x14ac:dyDescent="0.25">
      <c r="A7" s="94" t="s">
        <v>82</v>
      </c>
      <c r="B7" s="94"/>
      <c r="C7" s="94"/>
      <c r="D7" s="94"/>
      <c r="E7" s="94"/>
      <c r="F7" s="94"/>
      <c r="G7" s="94"/>
      <c r="H7" s="2"/>
      <c r="I7" s="2"/>
      <c r="J7" s="2"/>
    </row>
    <row r="8" spans="1:10" x14ac:dyDescent="0.2">
      <c r="A8" s="95" t="s">
        <v>75</v>
      </c>
      <c r="B8" s="95"/>
      <c r="C8" s="95"/>
      <c r="D8" s="95"/>
      <c r="E8" s="95"/>
      <c r="F8" s="95"/>
      <c r="G8" s="95"/>
      <c r="H8" s="2"/>
      <c r="I8" s="2"/>
      <c r="J8" s="2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 t="s">
        <v>84</v>
      </c>
      <c r="B11" s="2"/>
      <c r="C11" s="21">
        <v>366</v>
      </c>
      <c r="D11" s="2"/>
      <c r="E11" s="2"/>
      <c r="F11" s="2"/>
      <c r="G11" s="2"/>
      <c r="H11" s="2"/>
      <c r="I11" s="2"/>
      <c r="J11" s="2"/>
    </row>
    <row r="12" spans="1:10" x14ac:dyDescent="0.2">
      <c r="A12" s="2" t="s">
        <v>7</v>
      </c>
      <c r="B12" s="2"/>
      <c r="C12" s="2">
        <v>8</v>
      </c>
      <c r="D12" s="2" t="s">
        <v>26</v>
      </c>
      <c r="E12" s="2"/>
      <c r="F12" s="2"/>
      <c r="G12" s="2"/>
      <c r="H12" s="2"/>
      <c r="I12" s="2"/>
      <c r="J12" s="2"/>
    </row>
    <row r="13" spans="1:10" x14ac:dyDescent="0.2">
      <c r="A13" s="2" t="s">
        <v>8</v>
      </c>
      <c r="B13" s="2"/>
      <c r="C13" s="2">
        <f>+C11*C12</f>
        <v>2928</v>
      </c>
      <c r="D13" s="2"/>
      <c r="E13" s="2"/>
      <c r="F13" s="2"/>
      <c r="G13" s="2"/>
      <c r="H13" s="2"/>
      <c r="I13" s="2"/>
      <c r="J13" s="2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  <c r="J14" s="4"/>
    </row>
    <row r="15" spans="1:10" x14ac:dyDescent="0.2">
      <c r="A15" s="58" t="s">
        <v>85</v>
      </c>
      <c r="B15" s="5" t="s">
        <v>83</v>
      </c>
      <c r="C15" s="5" t="s">
        <v>83</v>
      </c>
      <c r="D15" s="5" t="s">
        <v>83</v>
      </c>
      <c r="E15" s="5" t="s">
        <v>83</v>
      </c>
      <c r="F15" s="5" t="s">
        <v>83</v>
      </c>
    </row>
    <row r="16" spans="1:10" x14ac:dyDescent="0.2">
      <c r="A16" s="59"/>
      <c r="B16" s="6" t="s">
        <v>9</v>
      </c>
      <c r="C16" s="6" t="s">
        <v>10</v>
      </c>
      <c r="D16" s="6" t="s">
        <v>13</v>
      </c>
      <c r="E16" s="6" t="s">
        <v>11</v>
      </c>
      <c r="F16" s="6" t="s">
        <v>12</v>
      </c>
    </row>
    <row r="17" spans="1:11" x14ac:dyDescent="0.2">
      <c r="A17" s="2"/>
      <c r="B17" s="2"/>
      <c r="C17" s="2"/>
      <c r="D17" s="2"/>
      <c r="E17" s="2"/>
      <c r="F17" s="2"/>
    </row>
    <row r="18" spans="1:11" x14ac:dyDescent="0.2">
      <c r="A18" s="2" t="s">
        <v>0</v>
      </c>
      <c r="B18" s="7">
        <f>+'18-19 Payscales SoMed App.D'!B18</f>
        <v>51769.090574999995</v>
      </c>
      <c r="C18" s="7">
        <f>+B18/12</f>
        <v>4314.0908812499993</v>
      </c>
      <c r="D18" s="7">
        <f>+B18/12/2</f>
        <v>2157.0454406249996</v>
      </c>
      <c r="E18" s="7">
        <f>+B18/($C$11/7)*2</f>
        <v>1980.2384372950819</v>
      </c>
      <c r="F18" s="7">
        <f>+B18/$C$13</f>
        <v>17.680700332991801</v>
      </c>
      <c r="G18" s="8"/>
    </row>
    <row r="19" spans="1:11" x14ac:dyDescent="0.2">
      <c r="A19" s="2" t="s">
        <v>1</v>
      </c>
      <c r="B19" s="7">
        <f>+'18-19 Payscales SoMed App.D'!B19</f>
        <v>53504.475074999995</v>
      </c>
      <c r="C19" s="7">
        <f t="shared" ref="C19:C24" si="0">+B19/12</f>
        <v>4458.7062562499996</v>
      </c>
      <c r="D19" s="7">
        <f t="shared" ref="D19:D24" si="1">+B19/12/2</f>
        <v>2229.3531281249998</v>
      </c>
      <c r="E19" s="7">
        <f t="shared" ref="E19:E24" si="2">+B19/($C$11/7)*2</f>
        <v>2046.6192651639342</v>
      </c>
      <c r="F19" s="7">
        <f t="shared" ref="F19:F24" si="3">+B19/$C$13</f>
        <v>18.273386296106555</v>
      </c>
    </row>
    <row r="20" spans="1:11" x14ac:dyDescent="0.2">
      <c r="A20" s="2" t="s">
        <v>2</v>
      </c>
      <c r="B20" s="7">
        <f>+'18-19 Payscales SoMed App.D'!B20</f>
        <v>55335.198599999996</v>
      </c>
      <c r="C20" s="7">
        <f t="shared" si="0"/>
        <v>4611.2665499999994</v>
      </c>
      <c r="D20" s="7">
        <f t="shared" si="1"/>
        <v>2305.6332749999997</v>
      </c>
      <c r="E20" s="7">
        <f t="shared" si="2"/>
        <v>2116.6469409836063</v>
      </c>
      <c r="F20" s="7">
        <f t="shared" si="3"/>
        <v>18.898633401639344</v>
      </c>
    </row>
    <row r="21" spans="1:11" x14ac:dyDescent="0.2">
      <c r="A21" s="2" t="s">
        <v>3</v>
      </c>
      <c r="B21" s="7">
        <f>+'18-19 Payscales SoMed App.D'!B21</f>
        <v>57469.078799999988</v>
      </c>
      <c r="C21" s="7">
        <f t="shared" si="0"/>
        <v>4789.089899999999</v>
      </c>
      <c r="D21" s="7">
        <f t="shared" si="1"/>
        <v>2394.5449499999995</v>
      </c>
      <c r="E21" s="7">
        <f t="shared" si="2"/>
        <v>2198.2707737704914</v>
      </c>
      <c r="F21" s="7">
        <f t="shared" si="3"/>
        <v>19.627417622950816</v>
      </c>
    </row>
    <row r="22" spans="1:11" x14ac:dyDescent="0.2">
      <c r="A22" s="2" t="s">
        <v>4</v>
      </c>
      <c r="B22" s="7">
        <f>+'18-19 Payscales SoMed App.D'!B22</f>
        <v>59899.688324999988</v>
      </c>
      <c r="C22" s="7">
        <f t="shared" si="0"/>
        <v>4991.6406937499987</v>
      </c>
      <c r="D22" s="7">
        <f t="shared" si="1"/>
        <v>2495.8203468749994</v>
      </c>
      <c r="E22" s="7">
        <f t="shared" si="2"/>
        <v>2291.2449086065571</v>
      </c>
      <c r="F22" s="7">
        <f t="shared" si="3"/>
        <v>20.457543826844258</v>
      </c>
    </row>
    <row r="23" spans="1:11" x14ac:dyDescent="0.2">
      <c r="A23" s="2" t="s">
        <v>5</v>
      </c>
      <c r="B23" s="7">
        <f>+'18-19 Payscales SoMed App.D'!B23</f>
        <v>62496.33772499999</v>
      </c>
      <c r="C23" s="7">
        <f t="shared" si="0"/>
        <v>5208.0281437499989</v>
      </c>
      <c r="D23" s="7">
        <f t="shared" si="1"/>
        <v>2604.0140718749994</v>
      </c>
      <c r="E23" s="7">
        <f t="shared" si="2"/>
        <v>2390.5702954918029</v>
      </c>
      <c r="F23" s="7">
        <f t="shared" si="3"/>
        <v>21.344377638319667</v>
      </c>
    </row>
    <row r="24" spans="1:11" x14ac:dyDescent="0.2">
      <c r="A24" s="2" t="s">
        <v>16</v>
      </c>
      <c r="B24" s="7">
        <f>+'18-19 Payscales SoMed App.D'!B24</f>
        <v>62496.33772499999</v>
      </c>
      <c r="C24" s="7">
        <f t="shared" si="0"/>
        <v>5208.0281437499989</v>
      </c>
      <c r="D24" s="7">
        <f t="shared" si="1"/>
        <v>2604.0140718749994</v>
      </c>
      <c r="E24" s="7">
        <f t="shared" si="2"/>
        <v>2390.5702954918029</v>
      </c>
      <c r="F24" s="7">
        <f t="shared" si="3"/>
        <v>21.344377638319667</v>
      </c>
    </row>
    <row r="25" spans="1:11" x14ac:dyDescent="0.2">
      <c r="E25" s="8"/>
      <c r="H25" s="1" t="s">
        <v>27</v>
      </c>
    </row>
    <row r="26" spans="1:11" s="11" customFormat="1" ht="15" x14ac:dyDescent="0.25">
      <c r="A26" s="12" t="s">
        <v>29</v>
      </c>
      <c r="B26" s="14">
        <f>ROUND(AVERAGE(B18:B23), 0)</f>
        <v>56746</v>
      </c>
      <c r="C26" s="14">
        <f t="shared" ref="C26" si="4">+B26/12</f>
        <v>4728.833333333333</v>
      </c>
      <c r="D26" s="14">
        <f t="shared" ref="D26" si="5">+B26/12/2</f>
        <v>2364.4166666666665</v>
      </c>
      <c r="E26" s="14">
        <f>+B26/($C$11/7)*2</f>
        <v>2170.6120218579235</v>
      </c>
      <c r="F26" s="14">
        <f t="shared" ref="F26" si="6">+B26/$C$13</f>
        <v>19.380464480874316</v>
      </c>
      <c r="H26" s="15">
        <f>+B26*(100%+D40)</f>
        <v>64463.456000000006</v>
      </c>
      <c r="J26" s="8"/>
    </row>
    <row r="27" spans="1:11" x14ac:dyDescent="0.2">
      <c r="E27" s="8"/>
      <c r="H27" s="1" t="s">
        <v>81</v>
      </c>
      <c r="J27" s="8"/>
    </row>
    <row r="28" spans="1:11" ht="15" x14ac:dyDescent="0.25">
      <c r="A28" s="13" t="s">
        <v>17</v>
      </c>
      <c r="H28" s="15">
        <f>+H26+D47</f>
        <v>68186.456000000006</v>
      </c>
      <c r="I28" s="61"/>
      <c r="J28" s="62"/>
      <c r="K28" s="61"/>
    </row>
    <row r="29" spans="1:11" x14ac:dyDescent="0.2">
      <c r="A29" s="1" t="s">
        <v>18</v>
      </c>
    </row>
    <row r="31" spans="1:11" x14ac:dyDescent="0.2">
      <c r="A31" s="13" t="s">
        <v>19</v>
      </c>
      <c r="H31" s="8"/>
    </row>
    <row r="34" spans="1:4" x14ac:dyDescent="0.2">
      <c r="B34" s="1" t="s">
        <v>86</v>
      </c>
    </row>
    <row r="36" spans="1:4" x14ac:dyDescent="0.2">
      <c r="B36" s="1" t="s">
        <v>20</v>
      </c>
      <c r="D36" s="16">
        <v>2.9000000000000001E-2</v>
      </c>
    </row>
    <row r="37" spans="1:4" x14ac:dyDescent="0.2">
      <c r="B37" s="1" t="s">
        <v>25</v>
      </c>
      <c r="D37" s="9">
        <v>0</v>
      </c>
    </row>
    <row r="38" spans="1:4" x14ac:dyDescent="0.2">
      <c r="B38" s="1" t="s">
        <v>21</v>
      </c>
      <c r="D38" s="16">
        <v>0.10100000000000001</v>
      </c>
    </row>
    <row r="39" spans="1:4" x14ac:dyDescent="0.2">
      <c r="B39" s="1" t="s">
        <v>22</v>
      </c>
      <c r="D39" s="16">
        <v>6.0000000000000001E-3</v>
      </c>
    </row>
    <row r="40" spans="1:4" ht="15" x14ac:dyDescent="0.25">
      <c r="B40" s="39" t="s">
        <v>23</v>
      </c>
      <c r="C40" s="39"/>
      <c r="D40" s="40">
        <f>SUM(D36:D39)</f>
        <v>0.13600000000000001</v>
      </c>
    </row>
    <row r="42" spans="1:4" ht="15" x14ac:dyDescent="0.25">
      <c r="B42" s="11" t="s">
        <v>30</v>
      </c>
      <c r="C42" s="11"/>
      <c r="D42" s="23">
        <f>4%+0.1%+13.2%+0.6%</f>
        <v>0.17900000000000002</v>
      </c>
    </row>
    <row r="43" spans="1:4" x14ac:dyDescent="0.2">
      <c r="D43" s="10"/>
    </row>
    <row r="44" spans="1:4" x14ac:dyDescent="0.2">
      <c r="D44" s="10"/>
    </row>
    <row r="45" spans="1:4" x14ac:dyDescent="0.2">
      <c r="A45" s="1" t="s">
        <v>28</v>
      </c>
      <c r="D45" s="10"/>
    </row>
    <row r="47" spans="1:4" ht="15" x14ac:dyDescent="0.25">
      <c r="B47" s="11" t="s">
        <v>24</v>
      </c>
      <c r="D47" s="37">
        <f>ROUND('GME Fee'!B24, 0)</f>
        <v>3723</v>
      </c>
    </row>
    <row r="48" spans="1:4" ht="15" x14ac:dyDescent="0.25">
      <c r="C48" s="11"/>
    </row>
  </sheetData>
  <mergeCells count="5">
    <mergeCell ref="A1:G1"/>
    <mergeCell ref="A2:G2"/>
    <mergeCell ref="A3:G3"/>
    <mergeCell ref="A7:G7"/>
    <mergeCell ref="A8:G8"/>
  </mergeCells>
  <pageMargins left="0.7" right="0.7" top="0.75" bottom="0.75" header="0.3" footer="0.3"/>
  <pageSetup scale="73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12" workbookViewId="0">
      <selection activeCell="D21" sqref="D21"/>
    </sheetView>
  </sheetViews>
  <sheetFormatPr defaultRowHeight="12.75" x14ac:dyDescent="0.2"/>
  <cols>
    <col min="1" max="1" width="78.21875" style="26" customWidth="1"/>
    <col min="2" max="2" width="13.77734375" style="35" customWidth="1"/>
    <col min="3" max="16384" width="8.88671875" style="26"/>
  </cols>
  <sheetData>
    <row r="1" spans="1:2" ht="13.5" thickTop="1" x14ac:dyDescent="0.2">
      <c r="A1" s="24" t="s">
        <v>35</v>
      </c>
      <c r="B1" s="25"/>
    </row>
    <row r="2" spans="1:2" ht="18" x14ac:dyDescent="0.25">
      <c r="A2" s="27" t="s">
        <v>36</v>
      </c>
      <c r="B2" s="28">
        <f>613845*0</f>
        <v>0</v>
      </c>
    </row>
    <row r="3" spans="1:2" ht="18" x14ac:dyDescent="0.25">
      <c r="A3" s="27" t="s">
        <v>37</v>
      </c>
      <c r="B3" s="28">
        <f>3295449.70857705*0</f>
        <v>0</v>
      </c>
    </row>
    <row r="4" spans="1:2" ht="18" x14ac:dyDescent="0.25">
      <c r="A4" s="27" t="s">
        <v>38</v>
      </c>
      <c r="B4" s="28">
        <f>1471143.4836*0</f>
        <v>0</v>
      </c>
    </row>
    <row r="5" spans="1:2" ht="18" x14ac:dyDescent="0.25">
      <c r="A5" s="27" t="s">
        <v>39</v>
      </c>
      <c r="B5" s="28">
        <f>((28.4*2)+2.5)*(22*200)*0</f>
        <v>0</v>
      </c>
    </row>
    <row r="6" spans="1:2" ht="18" x14ac:dyDescent="0.25">
      <c r="A6" s="27" t="s">
        <v>40</v>
      </c>
      <c r="B6" s="28">
        <v>277455</v>
      </c>
    </row>
    <row r="7" spans="1:2" ht="18" x14ac:dyDescent="0.25">
      <c r="A7" s="29" t="s">
        <v>41</v>
      </c>
      <c r="B7" s="28">
        <v>9275</v>
      </c>
    </row>
    <row r="8" spans="1:2" ht="18" x14ac:dyDescent="0.25">
      <c r="A8" s="29" t="s">
        <v>42</v>
      </c>
      <c r="B8" s="28">
        <v>30618</v>
      </c>
    </row>
    <row r="9" spans="1:2" ht="18" x14ac:dyDescent="0.25">
      <c r="A9" s="27" t="s">
        <v>43</v>
      </c>
      <c r="B9" s="28">
        <f>61*750</f>
        <v>45750</v>
      </c>
    </row>
    <row r="10" spans="1:2" ht="18" x14ac:dyDescent="0.25">
      <c r="A10" s="27" t="s">
        <v>44</v>
      </c>
      <c r="B10" s="28">
        <f>78.65*B23</f>
        <v>64493.000000000007</v>
      </c>
    </row>
    <row r="11" spans="1:2" ht="18" x14ac:dyDescent="0.25">
      <c r="A11" s="29" t="s">
        <v>45</v>
      </c>
      <c r="B11" s="28">
        <v>30000</v>
      </c>
    </row>
    <row r="12" spans="1:2" ht="18" x14ac:dyDescent="0.25">
      <c r="A12" s="29" t="s">
        <v>46</v>
      </c>
      <c r="B12" s="28">
        <v>28200</v>
      </c>
    </row>
    <row r="13" spans="1:2" ht="18" x14ac:dyDescent="0.25">
      <c r="A13" s="29" t="s">
        <v>47</v>
      </c>
      <c r="B13" s="28">
        <v>55000</v>
      </c>
    </row>
    <row r="14" spans="1:2" ht="18" x14ac:dyDescent="0.25">
      <c r="A14" s="29" t="s">
        <v>48</v>
      </c>
      <c r="B14" s="28">
        <v>6200</v>
      </c>
    </row>
    <row r="15" spans="1:2" ht="18" x14ac:dyDescent="0.25">
      <c r="A15" s="29" t="s">
        <v>49</v>
      </c>
      <c r="B15" s="28">
        <v>49200</v>
      </c>
    </row>
    <row r="16" spans="1:2" ht="18" x14ac:dyDescent="0.25">
      <c r="A16" s="29" t="s">
        <v>50</v>
      </c>
      <c r="B16" s="28">
        <v>123000</v>
      </c>
    </row>
    <row r="17" spans="1:2" ht="18" x14ac:dyDescent="0.25">
      <c r="A17" s="29" t="s">
        <v>51</v>
      </c>
      <c r="B17" s="28">
        <f>160*B23</f>
        <v>131200</v>
      </c>
    </row>
    <row r="18" spans="1:2" ht="18" x14ac:dyDescent="0.25">
      <c r="A18" s="27" t="s">
        <v>52</v>
      </c>
      <c r="B18" s="28">
        <f>1500*B23</f>
        <v>1230000</v>
      </c>
    </row>
    <row r="19" spans="1:2" ht="18" x14ac:dyDescent="0.25">
      <c r="A19" s="27" t="s">
        <v>53</v>
      </c>
      <c r="B19" s="30">
        <f>2500*61</f>
        <v>152500</v>
      </c>
    </row>
    <row r="20" spans="1:2" ht="18" x14ac:dyDescent="0.25">
      <c r="A20" s="27" t="s">
        <v>54</v>
      </c>
      <c r="B20" s="28">
        <f>1000*B23</f>
        <v>820000</v>
      </c>
    </row>
    <row r="21" spans="1:2" ht="18" x14ac:dyDescent="0.25">
      <c r="A21" s="29"/>
      <c r="B21" s="28"/>
    </row>
    <row r="22" spans="1:2" ht="18" x14ac:dyDescent="0.25">
      <c r="A22" s="31" t="s">
        <v>55</v>
      </c>
      <c r="B22" s="28">
        <f>SUM(B2:B21)</f>
        <v>3052891</v>
      </c>
    </row>
    <row r="23" spans="1:2" ht="18" x14ac:dyDescent="0.25">
      <c r="A23" s="31" t="s">
        <v>56</v>
      </c>
      <c r="B23" s="32">
        <v>820</v>
      </c>
    </row>
    <row r="24" spans="1:2" ht="18" x14ac:dyDescent="0.25">
      <c r="A24" s="31" t="s">
        <v>57</v>
      </c>
      <c r="B24" s="33">
        <f>ROUND(B22/B23, 0)</f>
        <v>3723</v>
      </c>
    </row>
    <row r="25" spans="1:2" ht="18.75" thickBot="1" x14ac:dyDescent="0.3">
      <c r="A25" s="34" t="s">
        <v>58</v>
      </c>
      <c r="B25" s="38">
        <v>1044</v>
      </c>
    </row>
    <row r="26" spans="1:2" ht="13.5" thickTop="1" x14ac:dyDescent="0.2"/>
    <row r="27" spans="1:2" x14ac:dyDescent="0.2">
      <c r="A27" s="36"/>
    </row>
    <row r="28" spans="1:2" x14ac:dyDescent="0.2">
      <c r="A28" s="36"/>
    </row>
    <row r="29" spans="1:2" x14ac:dyDescent="0.2">
      <c r="A29" s="36"/>
    </row>
    <row r="30" spans="1:2" x14ac:dyDescent="0.2">
      <c r="A30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5" x14ac:dyDescent="0.2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Acrobat.Document.11" shapeId="7169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666750</xdr:colOff>
                <xdr:row>33</xdr:row>
                <xdr:rowOff>123825</xdr:rowOff>
              </to>
            </anchor>
          </objectPr>
        </oleObject>
      </mc:Choice>
      <mc:Fallback>
        <oleObject progId="Acrobat.Document.11" shapeId="7169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A19" sqref="A1:XFD1048576"/>
    </sheetView>
  </sheetViews>
  <sheetFormatPr defaultRowHeight="14.25" x14ac:dyDescent="0.2"/>
  <cols>
    <col min="1" max="1" width="16.6640625" style="1" customWidth="1"/>
    <col min="2" max="2" width="12.88671875" style="1" customWidth="1"/>
    <col min="3" max="3" width="11.21875" style="1" customWidth="1"/>
    <col min="4" max="4" width="13.44140625" style="1" customWidth="1"/>
    <col min="5" max="6" width="11.21875" style="1" customWidth="1"/>
    <col min="7" max="7" width="3.33203125" style="1" customWidth="1"/>
    <col min="8" max="8" width="14.33203125" style="1" customWidth="1"/>
    <col min="9" max="9" width="8.88671875" style="1"/>
    <col min="10" max="10" width="10.6640625" style="1" customWidth="1"/>
    <col min="11" max="16384" width="8.88671875" style="1"/>
  </cols>
  <sheetData>
    <row r="1" spans="1:10" x14ac:dyDescent="0.2">
      <c r="A1" s="92" t="s">
        <v>14</v>
      </c>
      <c r="B1" s="92"/>
      <c r="C1" s="92"/>
      <c r="D1" s="92"/>
      <c r="E1" s="92"/>
      <c r="F1" s="92"/>
      <c r="G1" s="92"/>
      <c r="H1" s="17"/>
    </row>
    <row r="2" spans="1:10" x14ac:dyDescent="0.2">
      <c r="A2" s="92" t="s">
        <v>15</v>
      </c>
      <c r="B2" s="92"/>
      <c r="C2" s="92"/>
      <c r="D2" s="92"/>
      <c r="E2" s="92"/>
      <c r="F2" s="92"/>
      <c r="G2" s="92"/>
      <c r="H2" s="17"/>
    </row>
    <row r="3" spans="1:10" ht="15" x14ac:dyDescent="0.25">
      <c r="A3" s="93"/>
      <c r="B3" s="93"/>
      <c r="C3" s="93"/>
      <c r="D3" s="93"/>
      <c r="E3" s="93"/>
      <c r="F3" s="93"/>
      <c r="G3" s="93"/>
    </row>
    <row r="7" spans="1:10" ht="15" x14ac:dyDescent="0.25">
      <c r="A7" s="94" t="s">
        <v>76</v>
      </c>
      <c r="B7" s="94"/>
      <c r="C7" s="94"/>
      <c r="D7" s="94"/>
      <c r="E7" s="94"/>
      <c r="F7" s="94"/>
      <c r="G7" s="94"/>
      <c r="H7" s="2"/>
      <c r="I7" s="2"/>
      <c r="J7" s="2"/>
    </row>
    <row r="8" spans="1:10" x14ac:dyDescent="0.2">
      <c r="A8" s="95" t="s">
        <v>75</v>
      </c>
      <c r="B8" s="95"/>
      <c r="C8" s="95"/>
      <c r="D8" s="95"/>
      <c r="E8" s="95"/>
      <c r="F8" s="95"/>
      <c r="G8" s="95"/>
      <c r="H8" s="2"/>
      <c r="I8" s="2"/>
      <c r="J8" s="2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 t="s">
        <v>78</v>
      </c>
      <c r="B11" s="2"/>
      <c r="C11" s="21">
        <v>365</v>
      </c>
      <c r="D11" s="2"/>
      <c r="E11" s="2"/>
      <c r="F11" s="2"/>
      <c r="G11" s="2"/>
      <c r="H11" s="2"/>
      <c r="I11" s="2"/>
      <c r="J11" s="2"/>
    </row>
    <row r="12" spans="1:10" x14ac:dyDescent="0.2">
      <c r="A12" s="2" t="s">
        <v>7</v>
      </c>
      <c r="B12" s="2"/>
      <c r="C12" s="2">
        <v>8</v>
      </c>
      <c r="D12" s="2" t="s">
        <v>26</v>
      </c>
      <c r="E12" s="2"/>
      <c r="F12" s="2"/>
      <c r="G12" s="2"/>
      <c r="H12" s="2"/>
      <c r="I12" s="2"/>
      <c r="J12" s="2"/>
    </row>
    <row r="13" spans="1:10" x14ac:dyDescent="0.2">
      <c r="A13" s="2" t="s">
        <v>8</v>
      </c>
      <c r="B13" s="2"/>
      <c r="C13" s="2">
        <f>+C11*C12</f>
        <v>2920</v>
      </c>
      <c r="D13" s="2"/>
      <c r="E13" s="2"/>
      <c r="F13" s="2"/>
      <c r="G13" s="2"/>
      <c r="H13" s="2"/>
      <c r="I13" s="2"/>
      <c r="J13" s="2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  <c r="J14" s="4"/>
    </row>
    <row r="15" spans="1:10" x14ac:dyDescent="0.2">
      <c r="A15" s="58" t="s">
        <v>80</v>
      </c>
      <c r="B15" s="5" t="s">
        <v>77</v>
      </c>
      <c r="C15" s="5" t="s">
        <v>77</v>
      </c>
      <c r="D15" s="5" t="s">
        <v>77</v>
      </c>
      <c r="E15" s="5" t="s">
        <v>77</v>
      </c>
      <c r="F15" s="5" t="s">
        <v>77</v>
      </c>
    </row>
    <row r="16" spans="1:10" x14ac:dyDescent="0.2">
      <c r="A16" s="59">
        <v>3.5000000000000003E-2</v>
      </c>
      <c r="B16" s="6" t="s">
        <v>9</v>
      </c>
      <c r="C16" s="6" t="s">
        <v>10</v>
      </c>
      <c r="D16" s="6" t="s">
        <v>13</v>
      </c>
      <c r="E16" s="6" t="s">
        <v>11</v>
      </c>
      <c r="F16" s="6" t="s">
        <v>12</v>
      </c>
    </row>
    <row r="17" spans="1:11" x14ac:dyDescent="0.2">
      <c r="A17" s="2"/>
      <c r="B17" s="2"/>
      <c r="C17" s="2"/>
      <c r="D17" s="2"/>
      <c r="E17" s="2"/>
      <c r="F17" s="2"/>
    </row>
    <row r="18" spans="1:11" x14ac:dyDescent="0.2">
      <c r="A18" s="2" t="s">
        <v>0</v>
      </c>
      <c r="B18" s="7">
        <f>+'17-18 Payscales SoMed App.D'!B18*(100%+$A$16)</f>
        <v>51769.090574999995</v>
      </c>
      <c r="C18" s="7">
        <f>+B18/12</f>
        <v>4314.0908812499993</v>
      </c>
      <c r="D18" s="7">
        <f>+B18/12/2</f>
        <v>2157.0454406249996</v>
      </c>
      <c r="E18" s="7">
        <f>+B18/(365/7)*2</f>
        <v>1985.6637480821914</v>
      </c>
      <c r="F18" s="7">
        <f>+B18/$C$13</f>
        <v>17.729140607876712</v>
      </c>
      <c r="G18" s="8"/>
    </row>
    <row r="19" spans="1:11" x14ac:dyDescent="0.2">
      <c r="A19" s="2" t="s">
        <v>1</v>
      </c>
      <c r="B19" s="7">
        <f>+'17-18 Payscales SoMed App.D'!B19*(100%+$A$16)</f>
        <v>53504.475074999995</v>
      </c>
      <c r="C19" s="7">
        <f t="shared" ref="C19:C24" si="0">+B19/12</f>
        <v>4458.7062562499996</v>
      </c>
      <c r="D19" s="7">
        <f t="shared" ref="D19:D24" si="1">+B19/12/2</f>
        <v>2229.3531281249998</v>
      </c>
      <c r="E19" s="7">
        <f t="shared" ref="E19:E24" si="2">+B19/(365/7)*2</f>
        <v>2052.2264412328764</v>
      </c>
      <c r="F19" s="7">
        <f t="shared" ref="F19:F24" si="3">+B19/$C$13</f>
        <v>18.323450368150684</v>
      </c>
    </row>
    <row r="20" spans="1:11" x14ac:dyDescent="0.2">
      <c r="A20" s="2" t="s">
        <v>2</v>
      </c>
      <c r="B20" s="7">
        <f>+'17-18 Payscales SoMed App.D'!B20*(100%+$A$16)</f>
        <v>55335.198599999996</v>
      </c>
      <c r="C20" s="7">
        <f t="shared" si="0"/>
        <v>4611.2665499999994</v>
      </c>
      <c r="D20" s="7">
        <f t="shared" si="1"/>
        <v>2305.6332749999997</v>
      </c>
      <c r="E20" s="7">
        <f t="shared" si="2"/>
        <v>2122.44597369863</v>
      </c>
      <c r="F20" s="7">
        <f t="shared" si="3"/>
        <v>18.950410479452053</v>
      </c>
    </row>
    <row r="21" spans="1:11" x14ac:dyDescent="0.2">
      <c r="A21" s="2" t="s">
        <v>3</v>
      </c>
      <c r="B21" s="7">
        <f>+'17-18 Payscales SoMed App.D'!B21*(100%+$A$16)</f>
        <v>57469.078799999988</v>
      </c>
      <c r="C21" s="7">
        <f t="shared" si="0"/>
        <v>4789.089899999999</v>
      </c>
      <c r="D21" s="7">
        <f t="shared" si="1"/>
        <v>2394.5449499999995</v>
      </c>
      <c r="E21" s="7">
        <f t="shared" si="2"/>
        <v>2204.293433424657</v>
      </c>
      <c r="F21" s="7">
        <f t="shared" si="3"/>
        <v>19.681191369863011</v>
      </c>
    </row>
    <row r="22" spans="1:11" x14ac:dyDescent="0.2">
      <c r="A22" s="2" t="s">
        <v>4</v>
      </c>
      <c r="B22" s="7">
        <f>+'17-18 Payscales SoMed App.D'!B22*(100%+$A$16)</f>
        <v>59899.688324999988</v>
      </c>
      <c r="C22" s="7">
        <f t="shared" si="0"/>
        <v>4991.6406937499987</v>
      </c>
      <c r="D22" s="7">
        <f t="shared" si="1"/>
        <v>2495.8203468749994</v>
      </c>
      <c r="E22" s="7">
        <f t="shared" si="2"/>
        <v>2297.5222919178077</v>
      </c>
      <c r="F22" s="7">
        <f t="shared" si="3"/>
        <v>20.513591892123284</v>
      </c>
    </row>
    <row r="23" spans="1:11" x14ac:dyDescent="0.2">
      <c r="A23" s="2" t="s">
        <v>5</v>
      </c>
      <c r="B23" s="7">
        <f>+'17-18 Payscales SoMed App.D'!B23*(100%+$A$16)</f>
        <v>62496.33772499999</v>
      </c>
      <c r="C23" s="7">
        <f t="shared" si="0"/>
        <v>5208.0281437499989</v>
      </c>
      <c r="D23" s="7">
        <f t="shared" si="1"/>
        <v>2604.0140718749994</v>
      </c>
      <c r="E23" s="7">
        <f t="shared" si="2"/>
        <v>2397.1198031506842</v>
      </c>
      <c r="F23" s="7">
        <f t="shared" si="3"/>
        <v>21.40285538527397</v>
      </c>
    </row>
    <row r="24" spans="1:11" x14ac:dyDescent="0.2">
      <c r="A24" s="2" t="s">
        <v>16</v>
      </c>
      <c r="B24" s="7">
        <f>+'17-18 Payscales SoMed App.D'!B24*(100%+$A$16)</f>
        <v>62496.33772499999</v>
      </c>
      <c r="C24" s="7">
        <f t="shared" si="0"/>
        <v>5208.0281437499989</v>
      </c>
      <c r="D24" s="7">
        <f t="shared" si="1"/>
        <v>2604.0140718749994</v>
      </c>
      <c r="E24" s="7">
        <f t="shared" si="2"/>
        <v>2397.1198031506842</v>
      </c>
      <c r="F24" s="7">
        <f t="shared" si="3"/>
        <v>21.40285538527397</v>
      </c>
    </row>
    <row r="25" spans="1:11" x14ac:dyDescent="0.2">
      <c r="E25" s="8"/>
      <c r="H25" s="1" t="s">
        <v>27</v>
      </c>
    </row>
    <row r="26" spans="1:11" s="11" customFormat="1" ht="15" x14ac:dyDescent="0.25">
      <c r="A26" s="12" t="s">
        <v>29</v>
      </c>
      <c r="B26" s="14">
        <f>ROUND(AVERAGE(B18:B23), 0)</f>
        <v>56746</v>
      </c>
      <c r="C26" s="14">
        <f t="shared" ref="C26" si="4">+B26/12</f>
        <v>4728.833333333333</v>
      </c>
      <c r="D26" s="14">
        <f t="shared" ref="D26" si="5">+B26/12/2</f>
        <v>2364.4166666666665</v>
      </c>
      <c r="E26" s="14">
        <f t="shared" ref="E26" si="6">+B26/(365/7)*2</f>
        <v>2176.5589041095891</v>
      </c>
      <c r="F26" s="14">
        <f t="shared" ref="F26" si="7">+B26/$C$13</f>
        <v>19.433561643835617</v>
      </c>
      <c r="H26" s="15">
        <f>+B26*(100%+D40)</f>
        <v>64633.694000000003</v>
      </c>
      <c r="J26" s="8"/>
    </row>
    <row r="27" spans="1:11" x14ac:dyDescent="0.2">
      <c r="E27" s="8"/>
      <c r="H27" s="1" t="s">
        <v>81</v>
      </c>
      <c r="J27" s="8"/>
    </row>
    <row r="28" spans="1:11" ht="15" x14ac:dyDescent="0.25">
      <c r="A28" s="13" t="s">
        <v>17</v>
      </c>
      <c r="H28" s="15">
        <f>+H26+D47</f>
        <v>68356.694000000003</v>
      </c>
      <c r="I28" s="61"/>
      <c r="J28" s="62"/>
      <c r="K28" s="61"/>
    </row>
    <row r="29" spans="1:11" x14ac:dyDescent="0.2">
      <c r="A29" s="1" t="s">
        <v>18</v>
      </c>
    </row>
    <row r="31" spans="1:11" x14ac:dyDescent="0.2">
      <c r="A31" s="13" t="s">
        <v>19</v>
      </c>
      <c r="H31" s="8"/>
    </row>
    <row r="34" spans="1:4" x14ac:dyDescent="0.2">
      <c r="B34" s="1" t="s">
        <v>79</v>
      </c>
    </row>
    <row r="36" spans="1:4" x14ac:dyDescent="0.2">
      <c r="B36" s="1" t="s">
        <v>20</v>
      </c>
      <c r="D36" s="16">
        <v>2.5000000000000001E-2</v>
      </c>
    </row>
    <row r="37" spans="1:4" x14ac:dyDescent="0.2">
      <c r="B37" s="1" t="s">
        <v>25</v>
      </c>
      <c r="D37" s="9">
        <v>0</v>
      </c>
    </row>
    <row r="38" spans="1:4" x14ac:dyDescent="0.2">
      <c r="B38" s="1" t="s">
        <v>21</v>
      </c>
      <c r="D38" s="16">
        <v>0.105</v>
      </c>
    </row>
    <row r="39" spans="1:4" x14ac:dyDescent="0.2">
      <c r="B39" s="1" t="s">
        <v>22</v>
      </c>
      <c r="D39" s="16">
        <v>8.9999999999999993E-3</v>
      </c>
    </row>
    <row r="40" spans="1:4" ht="15" x14ac:dyDescent="0.25">
      <c r="B40" s="39" t="s">
        <v>23</v>
      </c>
      <c r="C40" s="39"/>
      <c r="D40" s="40">
        <f>SUM(D36:D39)</f>
        <v>0.13900000000000001</v>
      </c>
    </row>
    <row r="42" spans="1:4" ht="15" x14ac:dyDescent="0.25">
      <c r="B42" s="11" t="s">
        <v>30</v>
      </c>
      <c r="C42" s="11"/>
      <c r="D42" s="23">
        <f>4.4%+0.1%+16.9%+1%</f>
        <v>0.224</v>
      </c>
    </row>
    <row r="43" spans="1:4" x14ac:dyDescent="0.2">
      <c r="D43" s="10"/>
    </row>
    <row r="44" spans="1:4" x14ac:dyDescent="0.2">
      <c r="D44" s="10"/>
    </row>
    <row r="45" spans="1:4" x14ac:dyDescent="0.2">
      <c r="A45" s="1" t="s">
        <v>28</v>
      </c>
      <c r="D45" s="10"/>
    </row>
    <row r="47" spans="1:4" ht="15" x14ac:dyDescent="0.25">
      <c r="B47" s="11" t="s">
        <v>24</v>
      </c>
      <c r="D47" s="37">
        <f>ROUND('GME Fee'!B24, 0)</f>
        <v>3723</v>
      </c>
    </row>
    <row r="48" spans="1:4" ht="15" x14ac:dyDescent="0.25">
      <c r="C48" s="11"/>
    </row>
  </sheetData>
  <mergeCells count="5">
    <mergeCell ref="A1:G1"/>
    <mergeCell ref="A2:G2"/>
    <mergeCell ref="A3:G3"/>
    <mergeCell ref="A7:G7"/>
    <mergeCell ref="A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G6" sqref="G6"/>
    </sheetView>
  </sheetViews>
  <sheetFormatPr defaultColWidth="13.44140625" defaultRowHeight="15" x14ac:dyDescent="0.2"/>
  <sheetData>
    <row r="2" spans="1:8" ht="15.75" thickBot="1" x14ac:dyDescent="0.25">
      <c r="A2" s="41"/>
    </row>
    <row r="3" spans="1:8" ht="16.5" thickTop="1" thickBot="1" x14ac:dyDescent="0.25">
      <c r="A3" s="42" t="s">
        <v>60</v>
      </c>
      <c r="B3" s="43"/>
      <c r="C3" s="43"/>
      <c r="D3" s="43"/>
      <c r="E3" s="43"/>
      <c r="F3" s="43"/>
      <c r="G3" s="43"/>
      <c r="H3" s="44"/>
    </row>
    <row r="4" spans="1:8" ht="16.5" thickTop="1" thickBot="1" x14ac:dyDescent="0.25">
      <c r="A4" s="45"/>
      <c r="B4" s="46" t="s">
        <v>61</v>
      </c>
      <c r="C4" s="96" t="s">
        <v>62</v>
      </c>
      <c r="D4" s="97"/>
      <c r="E4" s="98"/>
      <c r="F4" s="47" t="s">
        <v>63</v>
      </c>
      <c r="G4" s="46" t="s">
        <v>61</v>
      </c>
      <c r="H4" s="48" t="s">
        <v>61</v>
      </c>
    </row>
    <row r="5" spans="1:8" ht="15.75" thickBot="1" x14ac:dyDescent="0.25">
      <c r="A5" s="49"/>
      <c r="B5" s="50" t="s">
        <v>64</v>
      </c>
      <c r="C5" s="51" t="s">
        <v>65</v>
      </c>
      <c r="D5" s="51" t="s">
        <v>66</v>
      </c>
      <c r="E5" s="51" t="s">
        <v>67</v>
      </c>
      <c r="F5" s="52" t="s">
        <v>64</v>
      </c>
      <c r="G5" s="50" t="s">
        <v>68</v>
      </c>
      <c r="H5" s="53" t="s">
        <v>69</v>
      </c>
    </row>
    <row r="6" spans="1:8" ht="16.5" thickTop="1" thickBot="1" x14ac:dyDescent="0.25">
      <c r="A6" s="54" t="s">
        <v>0</v>
      </c>
      <c r="B6" s="55">
        <v>48327</v>
      </c>
      <c r="C6" s="56">
        <v>50575</v>
      </c>
      <c r="D6" s="56">
        <v>50572</v>
      </c>
      <c r="E6" s="56">
        <v>51429</v>
      </c>
      <c r="F6" s="56">
        <v>51721</v>
      </c>
      <c r="G6" s="55">
        <v>50018</v>
      </c>
      <c r="H6" s="57">
        <v>51769</v>
      </c>
    </row>
    <row r="7" spans="1:8" ht="15.75" thickBot="1" x14ac:dyDescent="0.25">
      <c r="A7" s="54" t="s">
        <v>1</v>
      </c>
      <c r="B7" s="55">
        <v>49947</v>
      </c>
      <c r="C7" s="56">
        <v>52379</v>
      </c>
      <c r="D7" s="56">
        <v>52187</v>
      </c>
      <c r="E7" s="56">
        <v>52842</v>
      </c>
      <c r="F7" s="56">
        <v>53126</v>
      </c>
      <c r="G7" s="55">
        <v>51695</v>
      </c>
      <c r="H7" s="57">
        <v>53504</v>
      </c>
    </row>
    <row r="8" spans="1:8" ht="15.75" thickBot="1" x14ac:dyDescent="0.25">
      <c r="A8" s="54" t="s">
        <v>2</v>
      </c>
      <c r="B8" s="55">
        <v>51656</v>
      </c>
      <c r="C8" s="56">
        <v>54043</v>
      </c>
      <c r="D8" s="56">
        <v>53817</v>
      </c>
      <c r="E8" s="56">
        <v>54043</v>
      </c>
      <c r="F8" s="56">
        <v>55183</v>
      </c>
      <c r="G8" s="55">
        <v>53464</v>
      </c>
      <c r="H8" s="57">
        <v>55335</v>
      </c>
    </row>
    <row r="9" spans="1:8" ht="15.75" thickBot="1" x14ac:dyDescent="0.25">
      <c r="A9" s="54" t="s">
        <v>3</v>
      </c>
      <c r="B9" s="55">
        <v>53648</v>
      </c>
      <c r="C9" s="56">
        <v>56322</v>
      </c>
      <c r="D9" s="56">
        <v>56254</v>
      </c>
      <c r="E9" s="56">
        <v>56144</v>
      </c>
      <c r="F9" s="56">
        <v>57412</v>
      </c>
      <c r="G9" s="55">
        <v>55526</v>
      </c>
      <c r="H9" s="57">
        <v>57469</v>
      </c>
    </row>
    <row r="10" spans="1:8" ht="15.75" thickBot="1" x14ac:dyDescent="0.25">
      <c r="A10" s="54" t="s">
        <v>4</v>
      </c>
      <c r="B10" s="55">
        <v>55917</v>
      </c>
      <c r="C10" s="56">
        <v>58430</v>
      </c>
      <c r="D10" s="56">
        <v>58255</v>
      </c>
      <c r="E10" s="56">
        <v>58474</v>
      </c>
      <c r="F10" s="56">
        <v>59561</v>
      </c>
      <c r="G10" s="55">
        <v>57874</v>
      </c>
      <c r="H10" s="57">
        <v>59900</v>
      </c>
    </row>
    <row r="11" spans="1:8" ht="15.75" thickBot="1" x14ac:dyDescent="0.25">
      <c r="A11" s="54" t="s">
        <v>5</v>
      </c>
      <c r="B11" s="55">
        <v>58341</v>
      </c>
      <c r="C11" s="56">
        <v>61108</v>
      </c>
      <c r="D11" s="56">
        <v>60840</v>
      </c>
      <c r="E11" s="56">
        <v>62264</v>
      </c>
      <c r="F11" s="56">
        <v>61829</v>
      </c>
      <c r="G11" s="55">
        <v>60383</v>
      </c>
      <c r="H11" s="57">
        <v>62496</v>
      </c>
    </row>
    <row r="12" spans="1:8" x14ac:dyDescent="0.2">
      <c r="A12" s="41"/>
    </row>
  </sheetData>
  <mergeCells count="1">
    <mergeCell ref="C4:E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0" workbookViewId="0">
      <selection activeCell="E39" sqref="E39"/>
    </sheetView>
  </sheetViews>
  <sheetFormatPr defaultRowHeight="14.25" x14ac:dyDescent="0.2"/>
  <cols>
    <col min="1" max="1" width="16.6640625" style="1" customWidth="1"/>
    <col min="2" max="2" width="12.88671875" style="1" customWidth="1"/>
    <col min="3" max="3" width="11.21875" style="1" customWidth="1"/>
    <col min="4" max="4" width="13.44140625" style="1" customWidth="1"/>
    <col min="5" max="6" width="11.21875" style="1" customWidth="1"/>
    <col min="7" max="7" width="3.33203125" style="1" customWidth="1"/>
    <col min="8" max="8" width="14.33203125" style="1" customWidth="1"/>
    <col min="9" max="9" width="8.88671875" style="1"/>
    <col min="10" max="10" width="10.6640625" style="1" customWidth="1"/>
    <col min="11" max="16384" width="8.88671875" style="1"/>
  </cols>
  <sheetData>
    <row r="1" spans="1:10" x14ac:dyDescent="0.2">
      <c r="A1" s="92" t="s">
        <v>14</v>
      </c>
      <c r="B1" s="92"/>
      <c r="C1" s="92"/>
      <c r="D1" s="92"/>
      <c r="E1" s="92"/>
      <c r="F1" s="92"/>
      <c r="G1" s="92"/>
      <c r="H1" s="17"/>
    </row>
    <row r="2" spans="1:10" x14ac:dyDescent="0.2">
      <c r="A2" s="92" t="s">
        <v>15</v>
      </c>
      <c r="B2" s="92"/>
      <c r="C2" s="92"/>
      <c r="D2" s="92"/>
      <c r="E2" s="92"/>
      <c r="F2" s="92"/>
      <c r="G2" s="92"/>
      <c r="H2" s="17"/>
    </row>
    <row r="3" spans="1:10" ht="15" x14ac:dyDescent="0.25">
      <c r="A3" s="93"/>
      <c r="B3" s="93"/>
      <c r="C3" s="93"/>
      <c r="D3" s="93"/>
      <c r="E3" s="93"/>
      <c r="F3" s="93"/>
      <c r="G3" s="93"/>
    </row>
    <row r="7" spans="1:10" ht="15" x14ac:dyDescent="0.25">
      <c r="A7" s="94" t="s">
        <v>70</v>
      </c>
      <c r="B7" s="94"/>
      <c r="C7" s="94"/>
      <c r="D7" s="94"/>
      <c r="E7" s="94"/>
      <c r="F7" s="94"/>
      <c r="G7" s="94"/>
      <c r="H7" s="2"/>
      <c r="I7" s="2"/>
      <c r="J7" s="2"/>
    </row>
    <row r="8" spans="1:10" x14ac:dyDescent="0.2">
      <c r="A8" s="95" t="s">
        <v>75</v>
      </c>
      <c r="B8" s="95"/>
      <c r="C8" s="95"/>
      <c r="D8" s="95"/>
      <c r="E8" s="95"/>
      <c r="F8" s="95"/>
      <c r="G8" s="95"/>
      <c r="H8" s="2"/>
      <c r="I8" s="2"/>
      <c r="J8" s="2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 t="s">
        <v>73</v>
      </c>
      <c r="B11" s="2"/>
      <c r="C11" s="21">
        <v>365</v>
      </c>
      <c r="D11" s="2"/>
      <c r="E11" s="2"/>
      <c r="F11" s="2"/>
      <c r="G11" s="2"/>
      <c r="H11" s="2"/>
      <c r="I11" s="2"/>
      <c r="J11" s="2"/>
    </row>
    <row r="12" spans="1:10" x14ac:dyDescent="0.2">
      <c r="A12" s="2" t="s">
        <v>7</v>
      </c>
      <c r="B12" s="2"/>
      <c r="C12" s="2">
        <v>8</v>
      </c>
      <c r="D12" s="2" t="s">
        <v>26</v>
      </c>
      <c r="E12" s="2"/>
      <c r="F12" s="2"/>
      <c r="G12" s="2"/>
      <c r="H12" s="2"/>
      <c r="I12" s="2"/>
      <c r="J12" s="2"/>
    </row>
    <row r="13" spans="1:10" x14ac:dyDescent="0.2">
      <c r="A13" s="2" t="s">
        <v>8</v>
      </c>
      <c r="B13" s="2"/>
      <c r="C13" s="2">
        <f>+C11*C12</f>
        <v>2920</v>
      </c>
      <c r="D13" s="2"/>
      <c r="E13" s="2"/>
      <c r="F13" s="2"/>
      <c r="G13" s="2"/>
      <c r="H13" s="2"/>
      <c r="I13" s="2"/>
      <c r="J13" s="2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  <c r="J14" s="4"/>
    </row>
    <row r="15" spans="1:10" x14ac:dyDescent="0.2">
      <c r="A15" s="58" t="s">
        <v>72</v>
      </c>
      <c r="B15" s="5" t="s">
        <v>71</v>
      </c>
      <c r="C15" s="5" t="s">
        <v>71</v>
      </c>
      <c r="D15" s="5" t="s">
        <v>71</v>
      </c>
      <c r="E15" s="5" t="s">
        <v>71</v>
      </c>
      <c r="F15" s="5" t="s">
        <v>71</v>
      </c>
    </row>
    <row r="16" spans="1:10" x14ac:dyDescent="0.2">
      <c r="A16" s="59">
        <v>3.5000000000000003E-2</v>
      </c>
      <c r="B16" s="6" t="s">
        <v>9</v>
      </c>
      <c r="C16" s="6" t="s">
        <v>10</v>
      </c>
      <c r="D16" s="6" t="s">
        <v>13</v>
      </c>
      <c r="E16" s="6" t="s">
        <v>11</v>
      </c>
      <c r="F16" s="6" t="s">
        <v>12</v>
      </c>
    </row>
    <row r="17" spans="1:10" x14ac:dyDescent="0.2">
      <c r="A17" s="2"/>
      <c r="B17" s="2"/>
      <c r="C17" s="2"/>
      <c r="D17" s="2"/>
      <c r="E17" s="2"/>
      <c r="F17" s="2"/>
    </row>
    <row r="18" spans="1:10" x14ac:dyDescent="0.2">
      <c r="A18" s="2" t="s">
        <v>0</v>
      </c>
      <c r="B18" s="7">
        <f>+'16-17 Payscales SoMed. App.D'!B18*(100%+$A$16)</f>
        <v>50018.445</v>
      </c>
      <c r="C18" s="7">
        <f>+B18/12</f>
        <v>4168.2037499999997</v>
      </c>
      <c r="D18" s="7">
        <f>+B18/12/2</f>
        <v>2084.1018749999998</v>
      </c>
      <c r="E18" s="7">
        <f>+B18/(365/7)*2</f>
        <v>1918.515698630137</v>
      </c>
      <c r="F18" s="7">
        <f>+B18/$C$13</f>
        <v>17.129604452054796</v>
      </c>
      <c r="G18" s="8"/>
    </row>
    <row r="19" spans="1:10" x14ac:dyDescent="0.2">
      <c r="A19" s="2" t="s">
        <v>1</v>
      </c>
      <c r="B19" s="7">
        <f>+'16-17 Payscales SoMed. App.D'!B19*(100%+$A$16)</f>
        <v>51695.144999999997</v>
      </c>
      <c r="C19" s="7">
        <f t="shared" ref="C19:C24" si="0">+B19/12</f>
        <v>4307.92875</v>
      </c>
      <c r="D19" s="7">
        <f t="shared" ref="D19:D24" si="1">+B19/12/2</f>
        <v>2153.964375</v>
      </c>
      <c r="E19" s="7">
        <f t="shared" ref="E19:E24" si="2">+B19/(365/7)*2</f>
        <v>1982.8274794520546</v>
      </c>
      <c r="F19" s="7">
        <f t="shared" ref="F19:F24" si="3">+B19/$C$13</f>
        <v>17.703816780821917</v>
      </c>
    </row>
    <row r="20" spans="1:10" x14ac:dyDescent="0.2">
      <c r="A20" s="2" t="s">
        <v>2</v>
      </c>
      <c r="B20" s="7">
        <f>+'16-17 Payscales SoMed. App.D'!B20*(100%+$A$16)</f>
        <v>53463.96</v>
      </c>
      <c r="C20" s="7">
        <f t="shared" si="0"/>
        <v>4455.33</v>
      </c>
      <c r="D20" s="7">
        <f t="shared" si="1"/>
        <v>2227.665</v>
      </c>
      <c r="E20" s="7">
        <f t="shared" si="2"/>
        <v>2050.6724383561641</v>
      </c>
      <c r="F20" s="7">
        <f t="shared" si="3"/>
        <v>18.309575342465752</v>
      </c>
    </row>
    <row r="21" spans="1:10" x14ac:dyDescent="0.2">
      <c r="A21" s="2" t="s">
        <v>3</v>
      </c>
      <c r="B21" s="7">
        <f>+'16-17 Payscales SoMed. App.D'!B21*(100%+$A$16)</f>
        <v>55525.679999999993</v>
      </c>
      <c r="C21" s="7">
        <f t="shared" si="0"/>
        <v>4627.1399999999994</v>
      </c>
      <c r="D21" s="7">
        <f t="shared" si="1"/>
        <v>2313.5699999999997</v>
      </c>
      <c r="E21" s="7">
        <f t="shared" si="2"/>
        <v>2129.7521095890406</v>
      </c>
      <c r="F21" s="7">
        <f t="shared" si="3"/>
        <v>19.015643835616437</v>
      </c>
    </row>
    <row r="22" spans="1:10" x14ac:dyDescent="0.2">
      <c r="A22" s="2" t="s">
        <v>4</v>
      </c>
      <c r="B22" s="7">
        <f>+'16-17 Payscales SoMed. App.D'!B22*(100%+$A$16)</f>
        <v>57874.094999999994</v>
      </c>
      <c r="C22" s="7">
        <f t="shared" si="0"/>
        <v>4822.8412499999995</v>
      </c>
      <c r="D22" s="7">
        <f t="shared" si="1"/>
        <v>2411.4206249999997</v>
      </c>
      <c r="E22" s="7">
        <f t="shared" si="2"/>
        <v>2219.8283013698629</v>
      </c>
      <c r="F22" s="7">
        <f t="shared" si="3"/>
        <v>19.819895547945205</v>
      </c>
    </row>
    <row r="23" spans="1:10" x14ac:dyDescent="0.2">
      <c r="A23" s="2" t="s">
        <v>5</v>
      </c>
      <c r="B23" s="7">
        <f>+'16-17 Payscales SoMed. App.D'!B23*(100%+$A$16)</f>
        <v>60382.934999999998</v>
      </c>
      <c r="C23" s="7">
        <f t="shared" si="0"/>
        <v>5031.9112500000001</v>
      </c>
      <c r="D23" s="7">
        <f t="shared" si="1"/>
        <v>2515.9556250000001</v>
      </c>
      <c r="E23" s="7">
        <f t="shared" si="2"/>
        <v>2316.0577808219177</v>
      </c>
      <c r="F23" s="7">
        <f t="shared" si="3"/>
        <v>20.679087328767121</v>
      </c>
    </row>
    <row r="24" spans="1:10" x14ac:dyDescent="0.2">
      <c r="A24" s="2" t="s">
        <v>16</v>
      </c>
      <c r="B24" s="7">
        <f>+'16-17 Payscales SoMed. App.D'!B24*(100%+$A$16)</f>
        <v>60382.934999999998</v>
      </c>
      <c r="C24" s="7">
        <f t="shared" si="0"/>
        <v>5031.9112500000001</v>
      </c>
      <c r="D24" s="7">
        <f t="shared" si="1"/>
        <v>2515.9556250000001</v>
      </c>
      <c r="E24" s="7">
        <f t="shared" si="2"/>
        <v>2316.0577808219177</v>
      </c>
      <c r="F24" s="7">
        <f t="shared" si="3"/>
        <v>20.679087328767121</v>
      </c>
    </row>
    <row r="25" spans="1:10" x14ac:dyDescent="0.2">
      <c r="E25" s="8"/>
      <c r="H25" s="1" t="s">
        <v>27</v>
      </c>
    </row>
    <row r="26" spans="1:10" s="11" customFormat="1" ht="15" x14ac:dyDescent="0.25">
      <c r="A26" s="12" t="s">
        <v>29</v>
      </c>
      <c r="B26" s="14">
        <f>ROUND(AVERAGE(B18:B23), 0)</f>
        <v>54827</v>
      </c>
      <c r="C26" s="14">
        <f t="shared" ref="C26" si="4">+B26/12</f>
        <v>4568.916666666667</v>
      </c>
      <c r="D26" s="14">
        <f t="shared" ref="D26" si="5">+B26/12/2</f>
        <v>2284.4583333333335</v>
      </c>
      <c r="E26" s="14">
        <f t="shared" ref="E26" si="6">+B26/(365/7)*2</f>
        <v>2102.953424657534</v>
      </c>
      <c r="F26" s="14">
        <f t="shared" ref="F26" si="7">+B26/$C$13</f>
        <v>18.776369863013699</v>
      </c>
      <c r="H26" s="15">
        <f>+B26*(100%+D40)</f>
        <v>62722.088000000003</v>
      </c>
      <c r="J26" s="8"/>
    </row>
    <row r="27" spans="1:10" x14ac:dyDescent="0.2">
      <c r="E27" s="8"/>
      <c r="J27" s="8"/>
    </row>
    <row r="28" spans="1:10" x14ac:dyDescent="0.2">
      <c r="A28" s="13" t="s">
        <v>17</v>
      </c>
      <c r="H28" s="18"/>
      <c r="I28" s="19"/>
      <c r="J28" s="20"/>
    </row>
    <row r="29" spans="1:10" x14ac:dyDescent="0.2">
      <c r="A29" s="1" t="s">
        <v>18</v>
      </c>
    </row>
    <row r="31" spans="1:10" x14ac:dyDescent="0.2">
      <c r="A31" s="13" t="s">
        <v>19</v>
      </c>
      <c r="H31" s="8"/>
    </row>
    <row r="34" spans="1:4" x14ac:dyDescent="0.2">
      <c r="B34" s="1" t="s">
        <v>74</v>
      </c>
    </row>
    <row r="36" spans="1:4" x14ac:dyDescent="0.2">
      <c r="B36" s="1" t="s">
        <v>20</v>
      </c>
      <c r="D36" s="16">
        <v>2.5999999999999999E-2</v>
      </c>
    </row>
    <row r="37" spans="1:4" x14ac:dyDescent="0.2">
      <c r="B37" s="1" t="s">
        <v>25</v>
      </c>
      <c r="D37" s="9">
        <v>1E-3</v>
      </c>
    </row>
    <row r="38" spans="1:4" x14ac:dyDescent="0.2">
      <c r="B38" s="1" t="s">
        <v>21</v>
      </c>
      <c r="D38" s="16">
        <v>0.107</v>
      </c>
    </row>
    <row r="39" spans="1:4" x14ac:dyDescent="0.2">
      <c r="B39" s="1" t="s">
        <v>22</v>
      </c>
      <c r="D39" s="16">
        <v>0.01</v>
      </c>
    </row>
    <row r="40" spans="1:4" ht="15" x14ac:dyDescent="0.25">
      <c r="B40" s="39" t="s">
        <v>23</v>
      </c>
      <c r="C40" s="39"/>
      <c r="D40" s="40">
        <f>SUM(D36:D39)</f>
        <v>0.14400000000000002</v>
      </c>
    </row>
    <row r="42" spans="1:4" ht="15" x14ac:dyDescent="0.25">
      <c r="B42" s="11" t="s">
        <v>30</v>
      </c>
      <c r="C42" s="11"/>
      <c r="D42" s="23">
        <f>5.3%+0%+13.6%+1%</f>
        <v>0.19900000000000001</v>
      </c>
    </row>
    <row r="43" spans="1:4" x14ac:dyDescent="0.2">
      <c r="D43" s="60"/>
    </row>
    <row r="44" spans="1:4" x14ac:dyDescent="0.2">
      <c r="D44" s="10"/>
    </row>
    <row r="45" spans="1:4" x14ac:dyDescent="0.2">
      <c r="A45" s="1" t="s">
        <v>28</v>
      </c>
      <c r="D45" s="10"/>
    </row>
    <row r="47" spans="1:4" ht="15" x14ac:dyDescent="0.25">
      <c r="B47" s="11" t="s">
        <v>24</v>
      </c>
      <c r="D47" s="37">
        <f>ROUND('GME Fee'!B24, 0)</f>
        <v>3723</v>
      </c>
    </row>
    <row r="48" spans="1:4" ht="15" x14ac:dyDescent="0.25">
      <c r="C48" s="11"/>
    </row>
  </sheetData>
  <mergeCells count="5">
    <mergeCell ref="A1:G1"/>
    <mergeCell ref="A2:G2"/>
    <mergeCell ref="A3:G3"/>
    <mergeCell ref="A7:G7"/>
    <mergeCell ref="A8:G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zoomScale="60" zoomScaleNormal="100" workbookViewId="0">
      <selection sqref="A1:XFD1048576"/>
    </sheetView>
  </sheetViews>
  <sheetFormatPr defaultRowHeight="14.25" x14ac:dyDescent="0.2"/>
  <cols>
    <col min="1" max="1" width="16.6640625" style="1" customWidth="1"/>
    <col min="2" max="2" width="12.88671875" style="1" customWidth="1"/>
    <col min="3" max="3" width="11.21875" style="1" customWidth="1"/>
    <col min="4" max="4" width="13.44140625" style="1" customWidth="1"/>
    <col min="5" max="6" width="11.21875" style="1" customWidth="1"/>
    <col min="7" max="7" width="3.33203125" style="1" customWidth="1"/>
    <col min="8" max="8" width="14.33203125" style="1" customWidth="1"/>
    <col min="9" max="9" width="8.88671875" style="1"/>
    <col min="10" max="10" width="10.6640625" style="1" customWidth="1"/>
    <col min="11" max="16384" width="8.88671875" style="1"/>
  </cols>
  <sheetData>
    <row r="1" spans="1:10" x14ac:dyDescent="0.2">
      <c r="A1" s="92" t="s">
        <v>14</v>
      </c>
      <c r="B1" s="92"/>
      <c r="C1" s="92"/>
      <c r="D1" s="92"/>
      <c r="E1" s="92"/>
      <c r="F1" s="92"/>
      <c r="G1" s="92"/>
      <c r="H1" s="17"/>
    </row>
    <row r="2" spans="1:10" x14ac:dyDescent="0.2">
      <c r="A2" s="92" t="s">
        <v>15</v>
      </c>
      <c r="B2" s="92"/>
      <c r="C2" s="92"/>
      <c r="D2" s="92"/>
      <c r="E2" s="92"/>
      <c r="F2" s="92"/>
      <c r="G2" s="92"/>
      <c r="H2" s="17"/>
    </row>
    <row r="3" spans="1:10" ht="15" x14ac:dyDescent="0.25">
      <c r="A3" s="93"/>
      <c r="B3" s="93"/>
      <c r="C3" s="93"/>
      <c r="D3" s="93"/>
      <c r="E3" s="93"/>
      <c r="F3" s="93"/>
      <c r="G3" s="93"/>
    </row>
    <row r="7" spans="1:10" ht="15" x14ac:dyDescent="0.25">
      <c r="A7" s="94" t="s">
        <v>32</v>
      </c>
      <c r="B7" s="94"/>
      <c r="C7" s="94"/>
      <c r="D7" s="94"/>
      <c r="E7" s="94"/>
      <c r="F7" s="94"/>
      <c r="G7" s="94"/>
      <c r="H7" s="2"/>
      <c r="I7" s="2"/>
      <c r="J7" s="2"/>
    </row>
    <row r="8" spans="1:10" x14ac:dyDescent="0.2">
      <c r="A8" s="95" t="s">
        <v>31</v>
      </c>
      <c r="B8" s="95"/>
      <c r="C8" s="95"/>
      <c r="D8" s="95"/>
      <c r="E8" s="95"/>
      <c r="F8" s="95"/>
      <c r="G8" s="95"/>
      <c r="H8" s="2"/>
      <c r="I8" s="2"/>
      <c r="J8" s="2"/>
    </row>
    <row r="9" spans="1:10" x14ac:dyDescent="0.2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">
      <c r="A10" s="2" t="s">
        <v>6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 t="s">
        <v>33</v>
      </c>
      <c r="B11" s="2"/>
      <c r="C11" s="21">
        <v>365</v>
      </c>
      <c r="D11" s="2"/>
      <c r="E11" s="2"/>
      <c r="F11" s="2"/>
      <c r="G11" s="2"/>
      <c r="H11" s="2"/>
      <c r="I11" s="2"/>
      <c r="J11" s="2"/>
    </row>
    <row r="12" spans="1:10" x14ac:dyDescent="0.2">
      <c r="A12" s="2" t="s">
        <v>7</v>
      </c>
      <c r="B12" s="2"/>
      <c r="C12" s="2">
        <v>8</v>
      </c>
      <c r="D12" s="2" t="s">
        <v>26</v>
      </c>
      <c r="E12" s="2"/>
      <c r="F12" s="2"/>
      <c r="G12" s="2"/>
      <c r="H12" s="2"/>
      <c r="I12" s="2"/>
      <c r="J12" s="2"/>
    </row>
    <row r="13" spans="1:10" x14ac:dyDescent="0.2">
      <c r="A13" s="2" t="s">
        <v>8</v>
      </c>
      <c r="B13" s="2"/>
      <c r="C13" s="2">
        <f>+C11*C12</f>
        <v>2920</v>
      </c>
      <c r="D13" s="2"/>
      <c r="E13" s="2"/>
      <c r="F13" s="2"/>
      <c r="G13" s="2"/>
      <c r="H13" s="2"/>
      <c r="I13" s="2"/>
      <c r="J13" s="2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  <c r="J14" s="4"/>
    </row>
    <row r="15" spans="1:10" x14ac:dyDescent="0.2">
      <c r="A15" s="2"/>
      <c r="B15" s="5" t="s">
        <v>34</v>
      </c>
      <c r="C15" s="5" t="s">
        <v>34</v>
      </c>
      <c r="D15" s="5" t="s">
        <v>34</v>
      </c>
      <c r="E15" s="5" t="s">
        <v>34</v>
      </c>
      <c r="F15" s="5" t="s">
        <v>34</v>
      </c>
    </row>
    <row r="16" spans="1:10" x14ac:dyDescent="0.2">
      <c r="A16" s="2"/>
      <c r="B16" s="6" t="s">
        <v>9</v>
      </c>
      <c r="C16" s="6" t="s">
        <v>10</v>
      </c>
      <c r="D16" s="6" t="s">
        <v>13</v>
      </c>
      <c r="E16" s="6" t="s">
        <v>11</v>
      </c>
      <c r="F16" s="6" t="s">
        <v>12</v>
      </c>
    </row>
    <row r="17" spans="1:10" x14ac:dyDescent="0.2">
      <c r="A17" s="2"/>
      <c r="B17" s="2"/>
      <c r="C17" s="2"/>
      <c r="D17" s="2"/>
      <c r="E17" s="2"/>
      <c r="F17" s="2"/>
    </row>
    <row r="18" spans="1:10" x14ac:dyDescent="0.2">
      <c r="A18" s="2" t="s">
        <v>0</v>
      </c>
      <c r="B18" s="7">
        <f>+'[2]Stipend Request'!L9</f>
        <v>48327</v>
      </c>
      <c r="C18" s="7">
        <f>+B18/12</f>
        <v>4027.25</v>
      </c>
      <c r="D18" s="7">
        <f>+B18/12/2</f>
        <v>2013.625</v>
      </c>
      <c r="E18" s="7">
        <f>+B18/(365/7)*2</f>
        <v>1853.6383561643834</v>
      </c>
      <c r="F18" s="7">
        <f>+B18/$C$13</f>
        <v>16.550342465753424</v>
      </c>
      <c r="G18" s="8"/>
    </row>
    <row r="19" spans="1:10" x14ac:dyDescent="0.2">
      <c r="A19" s="2" t="s">
        <v>1</v>
      </c>
      <c r="B19" s="7">
        <f>+'[2]Stipend Request'!L10</f>
        <v>49947</v>
      </c>
      <c r="C19" s="7">
        <f t="shared" ref="C19:C24" si="0">+B19/12</f>
        <v>4162.25</v>
      </c>
      <c r="D19" s="7">
        <f t="shared" ref="D19:D24" si="1">+B19/12/2</f>
        <v>2081.125</v>
      </c>
      <c r="E19" s="7">
        <f t="shared" ref="E19:E24" si="2">+B19/(365/7)*2</f>
        <v>1915.7753424657533</v>
      </c>
      <c r="F19" s="7">
        <f t="shared" ref="F19:F24" si="3">+B19/$C$13</f>
        <v>17.105136986301371</v>
      </c>
    </row>
    <row r="20" spans="1:10" x14ac:dyDescent="0.2">
      <c r="A20" s="2" t="s">
        <v>2</v>
      </c>
      <c r="B20" s="7">
        <f>+'[2]Stipend Request'!L11</f>
        <v>51656</v>
      </c>
      <c r="C20" s="7">
        <f t="shared" si="0"/>
        <v>4304.666666666667</v>
      </c>
      <c r="D20" s="7">
        <f t="shared" si="1"/>
        <v>2152.3333333333335</v>
      </c>
      <c r="E20" s="7">
        <f t="shared" si="2"/>
        <v>1981.3260273972601</v>
      </c>
      <c r="F20" s="7">
        <f t="shared" si="3"/>
        <v>17.69041095890411</v>
      </c>
    </row>
    <row r="21" spans="1:10" x14ac:dyDescent="0.2">
      <c r="A21" s="2" t="s">
        <v>3</v>
      </c>
      <c r="B21" s="7">
        <f>+'[2]Stipend Request'!L12</f>
        <v>53648</v>
      </c>
      <c r="C21" s="7">
        <f t="shared" si="0"/>
        <v>4470.666666666667</v>
      </c>
      <c r="D21" s="7">
        <f t="shared" si="1"/>
        <v>2235.3333333333335</v>
      </c>
      <c r="E21" s="7">
        <f t="shared" si="2"/>
        <v>2057.7315068493149</v>
      </c>
      <c r="F21" s="7">
        <f t="shared" si="3"/>
        <v>18.372602739726027</v>
      </c>
    </row>
    <row r="22" spans="1:10" x14ac:dyDescent="0.2">
      <c r="A22" s="2" t="s">
        <v>4</v>
      </c>
      <c r="B22" s="7">
        <f>+'[2]Stipend Request'!L13</f>
        <v>55917</v>
      </c>
      <c r="C22" s="7">
        <f t="shared" si="0"/>
        <v>4659.75</v>
      </c>
      <c r="D22" s="7">
        <f t="shared" si="1"/>
        <v>2329.875</v>
      </c>
      <c r="E22" s="7">
        <f t="shared" si="2"/>
        <v>2144.7616438356163</v>
      </c>
      <c r="F22" s="7">
        <f t="shared" si="3"/>
        <v>19.149657534246575</v>
      </c>
    </row>
    <row r="23" spans="1:10" x14ac:dyDescent="0.2">
      <c r="A23" s="2" t="s">
        <v>5</v>
      </c>
      <c r="B23" s="7">
        <f>+'[2]Stipend Request'!L14</f>
        <v>58341</v>
      </c>
      <c r="C23" s="7">
        <f t="shared" si="0"/>
        <v>4861.75</v>
      </c>
      <c r="D23" s="7">
        <f t="shared" si="1"/>
        <v>2430.875</v>
      </c>
      <c r="E23" s="7">
        <f t="shared" si="2"/>
        <v>2237.7369863013696</v>
      </c>
      <c r="F23" s="7">
        <f t="shared" si="3"/>
        <v>19.979794520547944</v>
      </c>
    </row>
    <row r="24" spans="1:10" x14ac:dyDescent="0.2">
      <c r="A24" s="2" t="s">
        <v>16</v>
      </c>
      <c r="B24" s="7">
        <f>+B23</f>
        <v>58341</v>
      </c>
      <c r="C24" s="7">
        <f t="shared" si="0"/>
        <v>4861.75</v>
      </c>
      <c r="D24" s="7">
        <f t="shared" si="1"/>
        <v>2430.875</v>
      </c>
      <c r="E24" s="7">
        <f t="shared" si="2"/>
        <v>2237.7369863013696</v>
      </c>
      <c r="F24" s="7">
        <f t="shared" si="3"/>
        <v>19.979794520547944</v>
      </c>
    </row>
    <row r="25" spans="1:10" x14ac:dyDescent="0.2">
      <c r="E25" s="8"/>
      <c r="H25" s="1" t="s">
        <v>27</v>
      </c>
    </row>
    <row r="26" spans="1:10" s="11" customFormat="1" ht="15" x14ac:dyDescent="0.25">
      <c r="A26" s="12" t="s">
        <v>29</v>
      </c>
      <c r="B26" s="14">
        <f>ROUND(AVERAGE(B18:B23), 0)</f>
        <v>52973</v>
      </c>
      <c r="C26" s="14">
        <f t="shared" ref="C26" si="4">+B26/12</f>
        <v>4414.416666666667</v>
      </c>
      <c r="D26" s="14">
        <f t="shared" ref="D26" si="5">+B26/12/2</f>
        <v>2207.2083333333335</v>
      </c>
      <c r="E26" s="14">
        <f t="shared" ref="E26" si="6">+B26/(365/7)*2</f>
        <v>2031.8410958904108</v>
      </c>
      <c r="F26" s="14">
        <f t="shared" ref="F26" si="7">+B26/$C$13</f>
        <v>18.141438356164382</v>
      </c>
      <c r="H26" s="15">
        <f>+B26*(100%+D40)</f>
        <v>60336.247000000003</v>
      </c>
      <c r="J26" s="8"/>
    </row>
    <row r="27" spans="1:10" x14ac:dyDescent="0.2">
      <c r="E27" s="8"/>
      <c r="J27" s="8"/>
    </row>
    <row r="28" spans="1:10" x14ac:dyDescent="0.2">
      <c r="A28" s="13" t="s">
        <v>17</v>
      </c>
      <c r="H28" s="18"/>
      <c r="I28" s="19"/>
      <c r="J28" s="20"/>
    </row>
    <row r="29" spans="1:10" x14ac:dyDescent="0.2">
      <c r="A29" s="1" t="s">
        <v>18</v>
      </c>
    </row>
    <row r="31" spans="1:10" x14ac:dyDescent="0.2">
      <c r="A31" s="13" t="s">
        <v>19</v>
      </c>
      <c r="H31" s="8"/>
    </row>
    <row r="34" spans="1:4" x14ac:dyDescent="0.2">
      <c r="B34" s="1" t="s">
        <v>59</v>
      </c>
    </row>
    <row r="36" spans="1:4" x14ac:dyDescent="0.2">
      <c r="B36" s="1" t="s">
        <v>20</v>
      </c>
      <c r="D36" s="16">
        <v>2.8000000000000001E-2</v>
      </c>
    </row>
    <row r="37" spans="1:4" x14ac:dyDescent="0.2">
      <c r="B37" s="1" t="s">
        <v>25</v>
      </c>
      <c r="D37" s="9">
        <v>1E-3</v>
      </c>
    </row>
    <row r="38" spans="1:4" x14ac:dyDescent="0.2">
      <c r="B38" s="1" t="s">
        <v>21</v>
      </c>
      <c r="D38" s="22">
        <v>0.10100000000000001</v>
      </c>
    </row>
    <row r="39" spans="1:4" x14ac:dyDescent="0.2">
      <c r="B39" s="1" t="s">
        <v>22</v>
      </c>
      <c r="D39" s="16">
        <v>8.9999999999999993E-3</v>
      </c>
    </row>
    <row r="40" spans="1:4" ht="15" x14ac:dyDescent="0.25">
      <c r="B40" s="39" t="s">
        <v>23</v>
      </c>
      <c r="C40" s="39"/>
      <c r="D40" s="40">
        <f>SUM(D36:D39)</f>
        <v>0.13900000000000001</v>
      </c>
    </row>
    <row r="42" spans="1:4" ht="15" x14ac:dyDescent="0.25">
      <c r="B42" s="11" t="s">
        <v>30</v>
      </c>
      <c r="C42" s="11"/>
      <c r="D42" s="23">
        <f>5.7%+0%+10.5%+0.9%</f>
        <v>0.17100000000000001</v>
      </c>
    </row>
    <row r="43" spans="1:4" x14ac:dyDescent="0.2">
      <c r="D43" s="10"/>
    </row>
    <row r="44" spans="1:4" x14ac:dyDescent="0.2">
      <c r="D44" s="10"/>
    </row>
    <row r="45" spans="1:4" x14ac:dyDescent="0.2">
      <c r="A45" s="1" t="s">
        <v>28</v>
      </c>
      <c r="D45" s="10"/>
    </row>
    <row r="47" spans="1:4" ht="15" x14ac:dyDescent="0.25">
      <c r="B47" s="11" t="s">
        <v>24</v>
      </c>
      <c r="D47" s="37">
        <f>ROUND('GME Fee'!B24, 0)</f>
        <v>3723</v>
      </c>
    </row>
    <row r="48" spans="1:4" ht="15" x14ac:dyDescent="0.25">
      <c r="C48" s="11"/>
    </row>
  </sheetData>
  <mergeCells count="5">
    <mergeCell ref="A7:G7"/>
    <mergeCell ref="A8:G8"/>
    <mergeCell ref="A1:G1"/>
    <mergeCell ref="A2:G2"/>
    <mergeCell ref="A3:G3"/>
  </mergeCells>
  <pageMargins left="0.7" right="0.7" top="0.75" bottom="0.75" header="0.3" footer="0.3"/>
  <pageSetup scale="82" orientation="portrait" horizontalDpi="4294967293" verticalDpi="1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19-20 Payscales SoMed App.D 2.9</vt:lpstr>
      <vt:lpstr>19-20 Payscales SoMed App.D</vt:lpstr>
      <vt:lpstr>GME Fee</vt:lpstr>
      <vt:lpstr>FBs FY 20</vt:lpstr>
      <vt:lpstr>18-19 Payscales SoMed App.D</vt:lpstr>
      <vt:lpstr>FY 18 and 19 Stipend Analysis</vt:lpstr>
      <vt:lpstr>17-18 Payscales SoMed App.D</vt:lpstr>
      <vt:lpstr>16-17 Payscales SoMed. App.D</vt:lpstr>
      <vt:lpstr>'16-17 Payscales SoMed. App.D'!Print_Area</vt:lpstr>
    </vt:vector>
  </TitlesOfParts>
  <Company>LSU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TULLRI</dc:creator>
  <cp:lastModifiedBy>Kiara Dorion</cp:lastModifiedBy>
  <cp:lastPrinted>2013-05-03T19:41:43Z</cp:lastPrinted>
  <dcterms:created xsi:type="dcterms:W3CDTF">1999-06-23T19:21:49Z</dcterms:created>
  <dcterms:modified xsi:type="dcterms:W3CDTF">2019-07-30T16:11:30Z</dcterms:modified>
</cp:coreProperties>
</file>