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rio\Desktop\"/>
    </mc:Choice>
  </mc:AlternateContent>
  <bookViews>
    <workbookView xWindow="120" yWindow="60" windowWidth="15180" windowHeight="8235"/>
  </bookViews>
  <sheets>
    <sheet name="LSUHSC Contract Cost Calculator" sheetId="63" r:id="rId1"/>
    <sheet name="Contract Monitoring Template" sheetId="66" r:id="rId2"/>
    <sheet name="Hours per FTE" sheetId="64" r:id="rId3"/>
  </sheets>
  <definedNames>
    <definedName name="_xlnm.Print_Area" localSheetId="0">'LSUHSC Contract Cost Calculator'!$A$1:$O$76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K39" i="63" l="1"/>
  <c r="A23" i="64" l="1"/>
  <c r="M25" i="63"/>
  <c r="K41" i="63" s="1"/>
  <c r="K43" i="63"/>
  <c r="D9" i="63"/>
  <c r="D10" i="63" s="1"/>
  <c r="E8" i="63" s="1"/>
  <c r="D11" i="63"/>
  <c r="K8" i="63"/>
  <c r="K13" i="63" s="1"/>
  <c r="K10" i="63"/>
  <c r="E17" i="63"/>
  <c r="F17" i="63" s="1"/>
  <c r="E18" i="63"/>
  <c r="F18" i="63" s="1"/>
  <c r="E19" i="63"/>
  <c r="F19" i="63" s="1"/>
  <c r="E20" i="63"/>
  <c r="F20" i="63" s="1"/>
  <c r="E21" i="63"/>
  <c r="F21" i="63" s="1"/>
  <c r="E22" i="63"/>
  <c r="F22" i="63" s="1"/>
  <c r="E23" i="63"/>
  <c r="F23" i="63" s="1"/>
  <c r="E24" i="63"/>
  <c r="F24" i="63" s="1"/>
  <c r="E25" i="63"/>
  <c r="F25" i="63" s="1"/>
  <c r="E26" i="63"/>
  <c r="F26" i="63" s="1"/>
  <c r="E27" i="63"/>
  <c r="F27" i="63" s="1"/>
  <c r="E28" i="63"/>
  <c r="F28" i="63" s="1"/>
  <c r="B37" i="66"/>
  <c r="G13" i="66"/>
  <c r="G12" i="66"/>
  <c r="A14" i="66"/>
  <c r="D28" i="66" s="1"/>
  <c r="A10" i="66"/>
  <c r="G7" i="66"/>
  <c r="C7" i="66"/>
  <c r="G5" i="66"/>
  <c r="G3" i="66"/>
  <c r="B5" i="66"/>
  <c r="B4" i="66"/>
  <c r="B3" i="66"/>
  <c r="M26" i="63"/>
  <c r="E34" i="63"/>
  <c r="F34" i="63"/>
  <c r="E35" i="63"/>
  <c r="E36" i="63"/>
  <c r="E37" i="63"/>
  <c r="E38" i="63"/>
  <c r="F38" i="63" s="1"/>
  <c r="E39" i="63"/>
  <c r="E40" i="63"/>
  <c r="E41" i="63"/>
  <c r="F41" i="63" s="1"/>
  <c r="E42" i="63"/>
  <c r="F42" i="63"/>
  <c r="E43" i="63"/>
  <c r="F43" i="63" s="1"/>
  <c r="E44" i="63"/>
  <c r="F44" i="63"/>
  <c r="E45" i="63"/>
  <c r="F45" i="63" s="1"/>
  <c r="D15" i="64"/>
  <c r="D23" i="64" s="1"/>
  <c r="E40" i="64"/>
  <c r="E39" i="64"/>
  <c r="E43" i="64" s="1"/>
  <c r="E37" i="64"/>
  <c r="E38" i="64"/>
  <c r="A25" i="64"/>
  <c r="A21" i="64"/>
  <c r="A19" i="64"/>
  <c r="D5" i="64"/>
  <c r="D9" i="64" s="1"/>
  <c r="D10" i="64" s="1"/>
  <c r="K5" i="63"/>
  <c r="J6" i="63"/>
  <c r="J7" i="63"/>
  <c r="F36" i="63"/>
  <c r="F37" i="63"/>
  <c r="F40" i="63"/>
  <c r="F39" i="63"/>
  <c r="F35" i="63"/>
  <c r="A65" i="63"/>
  <c r="A66" i="63"/>
  <c r="A64" i="63"/>
  <c r="D35" i="66"/>
  <c r="D27" i="66"/>
  <c r="D24" i="66"/>
  <c r="D33" i="66"/>
  <c r="D29" i="66"/>
  <c r="D25" i="66"/>
  <c r="D34" i="66"/>
  <c r="D30" i="66"/>
  <c r="D26" i="66"/>
  <c r="D31" i="66"/>
  <c r="D32" i="66"/>
  <c r="D21" i="64"/>
  <c r="D19" i="64"/>
  <c r="D71" i="63"/>
  <c r="D70" i="63"/>
  <c r="D37" i="66" l="1"/>
  <c r="D25" i="64"/>
  <c r="E10" i="63"/>
  <c r="G65" i="63" s="1"/>
  <c r="E11" i="63"/>
  <c r="G66" i="63" s="1"/>
  <c r="H12" i="63"/>
  <c r="G63" i="63" s="1"/>
  <c r="E9" i="63"/>
  <c r="G64" i="63" s="1"/>
  <c r="M9" i="63"/>
  <c r="D54" i="63" s="1"/>
  <c r="H58" i="63" s="1"/>
  <c r="F71" i="63" s="1"/>
  <c r="M7" i="63"/>
  <c r="D33" i="63" s="1"/>
  <c r="D46" i="63" s="1"/>
  <c r="M8" i="63"/>
  <c r="K18" i="63"/>
  <c r="K21" i="63" s="1"/>
  <c r="M5" i="63"/>
  <c r="M6" i="63"/>
  <c r="D16" i="63" s="1"/>
  <c r="E16" i="63" s="1"/>
  <c r="F16" i="63" s="1"/>
  <c r="H29" i="63" s="1"/>
  <c r="M10" i="63"/>
  <c r="E33" i="63" l="1"/>
  <c r="F33" i="63" s="1"/>
  <c r="H46" i="63" s="1"/>
  <c r="F69" i="63" s="1"/>
  <c r="H69" i="63" s="1"/>
  <c r="H64" i="63"/>
  <c r="D29" i="63"/>
  <c r="D81" i="63" s="1"/>
  <c r="M13" i="63"/>
  <c r="H66" i="63"/>
  <c r="H65" i="63"/>
  <c r="K25" i="63"/>
  <c r="M21" i="63"/>
  <c r="K23" i="63"/>
  <c r="F68" i="63"/>
  <c r="H68" i="63" s="1"/>
  <c r="H49" i="63" l="1"/>
  <c r="H52" i="63" s="1"/>
  <c r="F70" i="63"/>
  <c r="G71" i="63" s="1"/>
  <c r="H71" i="63" s="1"/>
  <c r="H73" i="63" s="1"/>
  <c r="K48" i="63"/>
  <c r="K52" i="63"/>
  <c r="K56" i="63" s="1"/>
  <c r="F12" i="66"/>
  <c r="B39" i="66" s="1"/>
  <c r="K45" i="63"/>
  <c r="K58" i="63" s="1"/>
  <c r="K50" i="63"/>
  <c r="M42" i="63"/>
  <c r="F13" i="66" s="1"/>
  <c r="F76" i="63" l="1"/>
  <c r="A16" i="66"/>
  <c r="E25" i="66" s="1"/>
  <c r="I25" i="66" s="1"/>
  <c r="C31" i="66"/>
  <c r="F31" i="66" s="1"/>
  <c r="C25" i="66"/>
  <c r="C33" i="66"/>
  <c r="F33" i="66" s="1"/>
  <c r="C32" i="66"/>
  <c r="F32" i="66" s="1"/>
  <c r="C28" i="66"/>
  <c r="F28" i="66" s="1"/>
  <c r="C29" i="66"/>
  <c r="F29" i="66" s="1"/>
  <c r="C26" i="66"/>
  <c r="F26" i="66" s="1"/>
  <c r="C30" i="66"/>
  <c r="F30" i="66" s="1"/>
  <c r="C34" i="66"/>
  <c r="F34" i="66" s="1"/>
  <c r="C24" i="66"/>
  <c r="C27" i="66"/>
  <c r="F27" i="66" s="1"/>
  <c r="C35" i="66"/>
  <c r="F35" i="66" s="1"/>
  <c r="E28" i="66"/>
  <c r="I28" i="66" s="1"/>
  <c r="E27" i="66"/>
  <c r="I27" i="66" s="1"/>
  <c r="E31" i="66"/>
  <c r="I31" i="66" s="1"/>
  <c r="A12" i="66"/>
  <c r="E35" i="66"/>
  <c r="I35" i="66" s="1"/>
  <c r="E30" i="66"/>
  <c r="I30" i="66" s="1"/>
  <c r="E26" i="66"/>
  <c r="I26" i="66" s="1"/>
  <c r="E29" i="66"/>
  <c r="I29" i="66" s="1"/>
  <c r="E33" i="66"/>
  <c r="I33" i="66" s="1"/>
  <c r="E32" i="66"/>
  <c r="I32" i="66" s="1"/>
  <c r="E24" i="66"/>
  <c r="E34" i="66"/>
  <c r="I34" i="66" s="1"/>
  <c r="F25" i="66" l="1"/>
  <c r="E37" i="66"/>
  <c r="I24" i="66"/>
  <c r="I37" i="66" s="1"/>
  <c r="F24" i="66"/>
  <c r="C37" i="66"/>
  <c r="F37" i="66" l="1"/>
</calcChain>
</file>

<file path=xl/sharedStrings.xml><?xml version="1.0" encoding="utf-8"?>
<sst xmlns="http://schemas.openxmlformats.org/spreadsheetml/2006/main" count="177" uniqueCount="143">
  <si>
    <t>Contract #</t>
  </si>
  <si>
    <t>Contract Period</t>
  </si>
  <si>
    <t>From:</t>
  </si>
  <si>
    <t>To:</t>
  </si>
  <si>
    <t>Total</t>
  </si>
  <si>
    <t>Revenue</t>
  </si>
  <si>
    <t>Position</t>
  </si>
  <si>
    <t>Base Amt.</t>
  </si>
  <si>
    <t>FAC</t>
  </si>
  <si>
    <t>Total Base + FB</t>
  </si>
  <si>
    <t>Amount</t>
  </si>
  <si>
    <t xml:space="preserve">Name </t>
  </si>
  <si>
    <t>Prj Grant #</t>
  </si>
  <si>
    <t>Class</t>
  </si>
  <si>
    <t>Unclass</t>
  </si>
  <si>
    <t>**</t>
  </si>
  <si>
    <t xml:space="preserve">**This # should be -0- </t>
  </si>
  <si>
    <t>Revenue Disbursement</t>
  </si>
  <si>
    <t>Contract Total</t>
  </si>
  <si>
    <t>Total Supplemental Salary Expenses</t>
  </si>
  <si>
    <t>Revenue Distribution</t>
  </si>
  <si>
    <t>Check Figure</t>
  </si>
  <si>
    <t>Proj/Grt</t>
  </si>
  <si>
    <t>% Distribution</t>
  </si>
  <si>
    <t>Name</t>
  </si>
  <si>
    <t>Dept Tax Prj Grant #</t>
  </si>
  <si>
    <t>Total Contract Amount:</t>
  </si>
  <si>
    <t>Supp Amt</t>
  </si>
  <si>
    <t>Contract Amount - Net Support for Department(s) incl. FBs:</t>
  </si>
  <si>
    <t>Amount:</t>
  </si>
  <si>
    <t>Type:</t>
  </si>
  <si>
    <t>% of Net Salary/FB Support (cell E8)</t>
  </si>
  <si>
    <t>FB on Base</t>
  </si>
  <si>
    <t>FB on Supplement</t>
  </si>
  <si>
    <t>Rate:</t>
  </si>
  <si>
    <t xml:space="preserve">Net Support for Department </t>
  </si>
  <si>
    <t>Other Expenses</t>
  </si>
  <si>
    <t>TBD</t>
  </si>
  <si>
    <t>INSERT TOTAL NEGOTIATED CONTRACT $ AMOUNT</t>
  </si>
  <si>
    <t>(Total Direct Costs)</t>
  </si>
  <si>
    <t>TBD (other  I/C, if needed)</t>
  </si>
  <si>
    <t>Department</t>
  </si>
  <si>
    <t>Base Salary Expenses</t>
  </si>
  <si>
    <t>Supplemental Salary Expenses</t>
  </si>
  <si>
    <t>Total Salary Expenses</t>
  </si>
  <si>
    <t>Total Supplement + FB</t>
  </si>
  <si>
    <t xml:space="preserve">    Net available to cover any Other Expenses (CME; travel; admin. support; incidentals)</t>
  </si>
  <si>
    <t>Total Other Expenses</t>
  </si>
  <si>
    <t>Total Base Salary Expenses</t>
  </si>
  <si>
    <t>GRAND Total  ALL Salary Expenses</t>
  </si>
  <si>
    <t>Fringe 1.4%</t>
  </si>
  <si>
    <t>Monthly</t>
  </si>
  <si>
    <t xml:space="preserve">Contract Costs Calculator                                  </t>
  </si>
  <si>
    <t>School/Department:</t>
  </si>
  <si>
    <t>Contract Name:</t>
  </si>
  <si>
    <t>Insert site/hospital</t>
  </si>
  <si>
    <t>TBD - request when contract terms final</t>
  </si>
  <si>
    <t xml:space="preserve">Other Contract ID </t>
  </si>
  <si>
    <t>(as needed - optional)</t>
  </si>
  <si>
    <t>Inst'l OH on Total Direct Costs (TDC)</t>
  </si>
  <si>
    <t>SCHOOL's Tax on TDC</t>
  </si>
  <si>
    <t>Hours/FTE</t>
  </si>
  <si>
    <t xml:space="preserve">Hourly Rate </t>
  </si>
  <si>
    <t>Estimated Available Service Hours Per FTE - LSUHSC Compliance Office Report 04/2008</t>
  </si>
  <si>
    <t>FTE (40 hrs/wk times 52 weeks)</t>
  </si>
  <si>
    <t>Less Annual Leave hours^</t>
  </si>
  <si>
    <t>Less Sick Leave Hours</t>
  </si>
  <si>
    <t>Less Holidays</t>
  </si>
  <si>
    <t>Available Service Hour per FTE</t>
  </si>
  <si>
    <t>FTE’s Needed to cover 2080 Service Hours (2080/1720)</t>
  </si>
  <si>
    <t>^Annual leave hours based upon accrual rate of annual leave plan most frequently selected by unclassified personnel.</t>
  </si>
  <si>
    <t>Current Contract Alternatives</t>
  </si>
  <si>
    <t>Rates to Recoup the Full Costs incl. Leave - Based on Hours/FTE</t>
  </si>
  <si>
    <t>No leave covered - often Administrative (off hours duties)</t>
  </si>
  <si>
    <t>80 hours/2 weeks of leave covered (CH; OLOL)</t>
  </si>
  <si>
    <t>160 hours/4 weeks of leave covered (ILH; Touro; competitive target)</t>
  </si>
  <si>
    <t>494 hours/12.35 weeks covered (SOPH - comb. Incl. training; admin.)</t>
  </si>
  <si>
    <t>Basic General Calculations</t>
  </si>
  <si>
    <t>1 FTE = hours/year</t>
  </si>
  <si>
    <t>1 FTE = hours/month</t>
  </si>
  <si>
    <t>Weekdays/year</t>
  </si>
  <si>
    <t>(incl. 14 LSU holidays that fall on weekdays)</t>
  </si>
  <si>
    <t>Weekend days/year</t>
  </si>
  <si>
    <t>Holidays (as weekend)</t>
  </si>
  <si>
    <t>Weeks/year</t>
  </si>
  <si>
    <t>Hours/Night&amp;Weekend</t>
  </si>
  <si>
    <t>(If On-Call - Night/Holiday&amp;Weekend shift)</t>
  </si>
  <si>
    <t>TOTAL DIRECT COSTS Prorated</t>
  </si>
  <si>
    <t>I/C Prorated</t>
  </si>
  <si>
    <t>GRAND TOTAL COSTS Prorated</t>
  </si>
  <si>
    <t>Monthly Rate</t>
  </si>
  <si>
    <t>Hourly Rate</t>
  </si>
  <si>
    <t>Monthly Hours</t>
  </si>
  <si>
    <t>FTE(s) To Be Covered (insert)</t>
  </si>
  <si>
    <t>Base (insert)</t>
  </si>
  <si>
    <t>Supplement  (insert)</t>
  </si>
  <si>
    <t>Indirect Costs - Insert % on total direct costs (TDC) desired</t>
  </si>
  <si>
    <t>TOTAL CONTRACT AMOUNT (should include Salary; FBs; Expenses; I/C)</t>
  </si>
  <si>
    <t>TOTAL Salary Support</t>
  </si>
  <si>
    <t>(18% target F&amp;A Costs; special rates - 12.5% Children's Hospital; 25% Anatomy; GME)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</si>
  <si>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</si>
  <si>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</si>
  <si>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</si>
  <si>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</si>
  <si>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</si>
  <si>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</si>
  <si>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</si>
  <si>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</si>
  <si>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</si>
  <si>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</si>
  <si>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</si>
  <si>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</si>
  <si>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Contract Monitoring Template</t>
  </si>
  <si>
    <t xml:space="preserve">Type of Contract: </t>
  </si>
  <si>
    <r>
      <rPr>
        <b/>
        <sz val="11"/>
        <rFont val="Calibri"/>
        <family val="2"/>
        <scheme val="minor"/>
      </rPr>
      <t>Fixed Monthly Installments</t>
    </r>
    <r>
      <rPr>
        <sz val="11"/>
        <rFont val="Calibri"/>
        <family val="2"/>
        <scheme val="minor"/>
      </rPr>
      <t xml:space="preserve"> - Reconciliation at the end of thee term (!monitoring throughout the term for overall compliance required)</t>
    </r>
  </si>
  <si>
    <t>Average Monthly Hours Covered</t>
  </si>
  <si>
    <t>Variance from Average:</t>
  </si>
  <si>
    <t>Invoicing Status</t>
  </si>
  <si>
    <t>Not Sent</t>
  </si>
  <si>
    <t>Revenue Unearned</t>
  </si>
  <si>
    <t>Hours Remaining Under the Contract</t>
  </si>
  <si>
    <t>TOTAL HOURS Provided</t>
  </si>
  <si>
    <t># of Hours Provided:
(insert)</t>
  </si>
  <si>
    <t>Net Revenue % (after I/C and FBs)</t>
  </si>
  <si>
    <r>
      <rPr>
        <b/>
        <sz val="11"/>
        <rFont val="Calibri"/>
        <family val="2"/>
        <scheme val="minor"/>
      </rPr>
      <t>Hourly/Fee-for-Service</t>
    </r>
    <r>
      <rPr>
        <sz val="11"/>
        <rFont val="Calibri"/>
        <family val="2"/>
        <scheme val="minor"/>
      </rPr>
      <t xml:space="preserve"> - Paid only for the services actually provided (!monitoring of the upper maximum limit - must amend timely!)</t>
    </r>
  </si>
  <si>
    <t>OR</t>
  </si>
  <si>
    <r>
      <rPr>
        <b/>
        <u/>
        <sz val="11"/>
        <rFont val="Calibri"/>
        <family val="2"/>
        <scheme val="minor"/>
      </rPr>
      <t>Revenue Earned</t>
    </r>
    <r>
      <rPr>
        <sz val="11"/>
        <rFont val="Calibri"/>
        <family val="2"/>
        <scheme val="minor"/>
      </rPr>
      <t xml:space="preserve">
(=Invoiced Amount 
for HOURLY/FEE based)</t>
    </r>
  </si>
  <si>
    <r>
      <rPr>
        <b/>
        <u/>
        <sz val="11"/>
        <rFont val="Calibri"/>
        <family val="2"/>
        <scheme val="minor"/>
      </rPr>
      <t>Monthly
Invoiced Amount</t>
    </r>
    <r>
      <rPr>
        <sz val="11"/>
        <rFont val="Calibri"/>
        <family val="2"/>
        <scheme val="minor"/>
      </rPr>
      <t xml:space="preserve">
(for FIXED only)</t>
    </r>
  </si>
  <si>
    <t>INVOICE for services provided in:
(insert month)</t>
  </si>
  <si>
    <t>TOTAL</t>
  </si>
  <si>
    <t>Actual Net Revenue (Salary/Other Expenses)</t>
  </si>
  <si>
    <t>Actual Net Revenue Earned (after I/C and FBs)</t>
  </si>
  <si>
    <t>Other Expenses/Incidentals (insert)</t>
  </si>
  <si>
    <t>Calculations for 1 FTE:</t>
  </si>
  <si>
    <t>GRAND TOTAL COSTS per 1 FTE per 1 YEAR</t>
  </si>
  <si>
    <t>Number of Months/Term</t>
  </si>
  <si>
    <t>TOTAL Variance vs. Actual (if any)</t>
  </si>
  <si>
    <t>Variance in Hourly Rate vs. Actual (if any)</t>
  </si>
  <si>
    <t>FTE(s) Covered (insert, or calculate based on total hours)</t>
  </si>
  <si>
    <t>HOURS COVERED (insert, or calculate based on FTEs required)</t>
  </si>
  <si>
    <t>Total (add for multi-year; FTEs)</t>
  </si>
  <si>
    <t>Fringe  43%</t>
  </si>
  <si>
    <t>SO….-20-XX-XXX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</si>
</sst>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0.000_)"/>
    <numFmt numFmtId="166" formatCode="_(* #,##0_);_(* \(#,##0\);_(* &quot;-&quot;??_);_(@_)"/>
    <numFmt numFmtId="167" formatCode="&quot;$&quot;#,##0"/>
    <numFmt numFmtId="168" formatCode="&quot;$&quot;#,##0.00"/>
  </numFmts>
  <fonts count="20" x14ac:knownFonts="1">
    <font>
      <sz val="12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2"/>
      <color indexed="8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29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1"/>
        <bgColor indexed="40"/>
      </patternFill>
    </fill>
    <fill>
      <patternFill patternType="solid">
        <fgColor indexed="47"/>
        <bgColor indexed="29"/>
      </patternFill>
    </fill>
    <fill>
      <patternFill patternType="solid">
        <fgColor indexed="41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 applyBorder="1" applyProtection="1"/>
    <xf numFmtId="37" fontId="3" fillId="0" borderId="0" xfId="0" applyNumberFormat="1" applyFont="1" applyBorder="1" applyProtection="1"/>
    <xf numFmtId="0" fontId="4" fillId="0" borderId="0" xfId="0" applyFont="1"/>
    <xf numFmtId="0" fontId="5" fillId="0" borderId="5" xfId="0" applyFont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5" fontId="3" fillId="4" borderId="1" xfId="0" applyNumberFormat="1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 applyAlignment="1" applyProtection="1">
      <alignment horizontal="center"/>
    </xf>
    <xf numFmtId="0" fontId="3" fillId="0" borderId="3" xfId="0" applyFont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5" fontId="3" fillId="0" borderId="4" xfId="0" applyNumberFormat="1" applyFont="1" applyBorder="1" applyProtection="1">
      <protection locked="0"/>
    </xf>
    <xf numFmtId="5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6" fillId="0" borderId="0" xfId="0" applyFont="1" applyBorder="1" applyProtection="1"/>
    <xf numFmtId="44" fontId="6" fillId="0" borderId="0" xfId="2" applyFont="1" applyBorder="1" applyProtection="1"/>
    <xf numFmtId="0" fontId="6" fillId="0" borderId="0" xfId="0" applyFont="1" applyBorder="1" applyAlignment="1" applyProtection="1">
      <alignment horizontal="left"/>
    </xf>
    <xf numFmtId="10" fontId="6" fillId="0" borderId="0" xfId="3" applyNumberFormat="1" applyFont="1" applyBorder="1" applyProtection="1"/>
    <xf numFmtId="0" fontId="3" fillId="0" borderId="12" xfId="0" applyFont="1" applyBorder="1" applyProtection="1">
      <protection locked="0"/>
    </xf>
    <xf numFmtId="0" fontId="3" fillId="0" borderId="6" xfId="0" applyFont="1" applyBorder="1" applyAlignment="1" applyProtection="1">
      <alignment horizontal="right"/>
      <protection locked="0"/>
    </xf>
    <xf numFmtId="164" fontId="3" fillId="4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14" fontId="3" fillId="0" borderId="6" xfId="0" applyNumberFormat="1" applyFont="1" applyBorder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5" fontId="3" fillId="0" borderId="11" xfId="0" applyNumberFormat="1" applyFont="1" applyBorder="1" applyProtection="1">
      <protection locked="0"/>
    </xf>
    <xf numFmtId="10" fontId="7" fillId="10" borderId="0" xfId="0" applyNumberFormat="1" applyFont="1" applyFill="1" applyBorder="1" applyProtection="1"/>
    <xf numFmtId="44" fontId="3" fillId="0" borderId="0" xfId="2" applyFont="1" applyBorder="1" applyProtection="1"/>
    <xf numFmtId="0" fontId="3" fillId="0" borderId="0" xfId="0" applyFont="1" applyBorder="1" applyAlignment="1" applyProtection="1">
      <alignment horizontal="left"/>
    </xf>
    <xf numFmtId="10" fontId="3" fillId="0" borderId="0" xfId="3" applyNumberFormat="1" applyFont="1" applyBorder="1" applyProtection="1"/>
    <xf numFmtId="0" fontId="3" fillId="0" borderId="13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14" fontId="3" fillId="0" borderId="0" xfId="0" applyNumberFormat="1" applyFont="1" applyFill="1" applyBorder="1" applyAlignment="1" applyProtection="1">
      <alignment horizontal="right"/>
      <protection locked="0"/>
    </xf>
    <xf numFmtId="5" fontId="3" fillId="0" borderId="0" xfId="0" applyNumberFormat="1" applyFont="1" applyFill="1" applyBorder="1" applyProtection="1">
      <protection locked="0"/>
    </xf>
    <xf numFmtId="0" fontId="4" fillId="0" borderId="14" xfId="0" applyFont="1" applyBorder="1"/>
    <xf numFmtId="0" fontId="4" fillId="0" borderId="15" xfId="0" applyFont="1" applyBorder="1"/>
    <xf numFmtId="44" fontId="4" fillId="9" borderId="15" xfId="2" applyFont="1" applyFill="1" applyBorder="1"/>
    <xf numFmtId="0" fontId="3" fillId="0" borderId="15" xfId="0" applyFont="1" applyBorder="1" applyProtection="1">
      <protection locked="0"/>
    </xf>
    <xf numFmtId="5" fontId="3" fillId="0" borderId="16" xfId="0" applyNumberFormat="1" applyFont="1" applyBorder="1" applyProtection="1">
      <protection locked="0"/>
    </xf>
    <xf numFmtId="0" fontId="4" fillId="10" borderId="13" xfId="0" applyFont="1" applyFill="1" applyBorder="1"/>
    <xf numFmtId="0" fontId="4" fillId="10" borderId="0" xfId="0" applyFont="1" applyFill="1" applyBorder="1"/>
    <xf numFmtId="10" fontId="4" fillId="10" borderId="0" xfId="0" applyNumberFormat="1" applyFont="1" applyFill="1" applyBorder="1"/>
    <xf numFmtId="44" fontId="4" fillId="9" borderId="0" xfId="2" applyFont="1" applyFill="1" applyBorder="1"/>
    <xf numFmtId="0" fontId="4" fillId="0" borderId="0" xfId="0" applyFont="1" applyBorder="1"/>
    <xf numFmtId="5" fontId="3" fillId="0" borderId="20" xfId="0" applyNumberFormat="1" applyFont="1" applyBorder="1" applyProtection="1">
      <protection locked="0"/>
    </xf>
    <xf numFmtId="10" fontId="7" fillId="0" borderId="0" xfId="0" applyNumberFormat="1" applyFont="1" applyBorder="1" applyProtection="1"/>
    <xf numFmtId="44" fontId="7" fillId="10" borderId="0" xfId="2" applyFont="1" applyFill="1" applyBorder="1" applyProtection="1"/>
    <xf numFmtId="37" fontId="4" fillId="10" borderId="13" xfId="0" applyNumberFormat="1" applyFont="1" applyFill="1" applyBorder="1"/>
    <xf numFmtId="10" fontId="3" fillId="0" borderId="0" xfId="0" applyNumberFormat="1" applyFont="1" applyBorder="1" applyProtection="1"/>
    <xf numFmtId="37" fontId="4" fillId="10" borderId="17" xfId="0" applyNumberFormat="1" applyFont="1" applyFill="1" applyBorder="1"/>
    <xf numFmtId="0" fontId="4" fillId="10" borderId="18" xfId="0" applyFont="1" applyFill="1" applyBorder="1"/>
    <xf numFmtId="10" fontId="4" fillId="10" borderId="18" xfId="0" applyNumberFormat="1" applyFont="1" applyFill="1" applyBorder="1"/>
    <xf numFmtId="44" fontId="4" fillId="9" borderId="18" xfId="2" applyFont="1" applyFill="1" applyBorder="1"/>
    <xf numFmtId="5" fontId="3" fillId="5" borderId="19" xfId="0" applyNumberFormat="1" applyFont="1" applyFill="1" applyBorder="1" applyProtection="1">
      <protection locked="0"/>
    </xf>
    <xf numFmtId="5" fontId="3" fillId="5" borderId="0" xfId="0" applyNumberFormat="1" applyFont="1" applyFill="1" applyBorder="1" applyProtection="1">
      <protection locked="0"/>
    </xf>
    <xf numFmtId="5" fontId="3" fillId="0" borderId="0" xfId="0" applyNumberFormat="1" applyFont="1" applyProtection="1">
      <protection locked="0"/>
    </xf>
    <xf numFmtId="5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7" fontId="3" fillId="2" borderId="0" xfId="0" applyNumberFormat="1" applyFont="1" applyFill="1" applyBorder="1" applyAlignment="1" applyProtection="1">
      <alignment horizontal="center"/>
    </xf>
    <xf numFmtId="5" fontId="3" fillId="0" borderId="1" xfId="0" applyNumberFormat="1" applyFont="1" applyBorder="1" applyProtection="1">
      <protection locked="0"/>
    </xf>
    <xf numFmtId="5" fontId="3" fillId="0" borderId="2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5" fontId="3" fillId="0" borderId="0" xfId="0" applyNumberFormat="1" applyFont="1" applyBorder="1" applyAlignment="1" applyProtection="1">
      <alignment horizontal="center"/>
    </xf>
    <xf numFmtId="44" fontId="3" fillId="0" borderId="0" xfId="2" applyFont="1" applyBorder="1" applyAlignment="1" applyProtection="1">
      <alignment horizontal="center"/>
    </xf>
    <xf numFmtId="10" fontId="3" fillId="0" borderId="0" xfId="3" applyNumberFormat="1" applyFont="1" applyBorder="1" applyAlignment="1" applyProtection="1">
      <alignment horizontal="center"/>
    </xf>
    <xf numFmtId="37" fontId="3" fillId="2" borderId="0" xfId="0" applyNumberFormat="1" applyFont="1" applyFill="1" applyBorder="1" applyProtection="1"/>
    <xf numFmtId="0" fontId="3" fillId="4" borderId="3" xfId="0" applyFont="1" applyFill="1" applyBorder="1" applyProtection="1">
      <protection locked="0"/>
    </xf>
    <xf numFmtId="37" fontId="3" fillId="4" borderId="0" xfId="0" applyNumberFormat="1" applyFont="1" applyFill="1" applyBorder="1" applyProtection="1">
      <protection locked="0"/>
    </xf>
    <xf numFmtId="37" fontId="3" fillId="0" borderId="0" xfId="0" applyNumberFormat="1" applyFont="1" applyBorder="1" applyProtection="1">
      <protection locked="0"/>
    </xf>
    <xf numFmtId="165" fontId="3" fillId="0" borderId="0" xfId="0" applyNumberFormat="1" applyFont="1" applyBorder="1" applyAlignment="1" applyProtection="1">
      <alignment horizontal="center"/>
    </xf>
    <xf numFmtId="7" fontId="3" fillId="0" borderId="0" xfId="0" applyNumberFormat="1" applyFont="1" applyBorder="1" applyProtection="1"/>
    <xf numFmtId="10" fontId="7" fillId="0" borderId="0" xfId="3" applyNumberFormat="1" applyFont="1" applyFill="1" applyBorder="1" applyAlignment="1" applyProtection="1">
      <alignment horizontal="right"/>
    </xf>
    <xf numFmtId="44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37" fontId="3" fillId="0" borderId="0" xfId="0" applyNumberFormat="1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10" fontId="3" fillId="0" borderId="0" xfId="3" applyNumberFormat="1" applyFont="1" applyFill="1" applyBorder="1" applyAlignment="1" applyProtection="1">
      <alignment horizontal="right"/>
    </xf>
    <xf numFmtId="5" fontId="3" fillId="6" borderId="4" xfId="0" applyNumberFormat="1" applyFont="1" applyFill="1" applyBorder="1" applyProtection="1">
      <protection locked="0"/>
    </xf>
    <xf numFmtId="5" fontId="3" fillId="6" borderId="0" xfId="0" applyNumberFormat="1" applyFont="1" applyFill="1" applyBorder="1" applyProtection="1">
      <protection locked="0"/>
    </xf>
    <xf numFmtId="166" fontId="3" fillId="0" borderId="0" xfId="1" applyNumberFormat="1" applyFont="1" applyBorder="1" applyProtection="1">
      <protection locked="0"/>
    </xf>
    <xf numFmtId="166" fontId="3" fillId="4" borderId="0" xfId="1" applyNumberFormat="1" applyFont="1" applyFill="1" applyBorder="1" applyProtection="1">
      <protection locked="0"/>
    </xf>
    <xf numFmtId="44" fontId="9" fillId="10" borderId="0" xfId="2" applyFont="1" applyFill="1" applyBorder="1" applyProtection="1"/>
    <xf numFmtId="37" fontId="5" fillId="0" borderId="0" xfId="0" applyNumberFormat="1" applyFont="1" applyBorder="1" applyProtection="1"/>
    <xf numFmtId="44" fontId="9" fillId="0" borderId="0" xfId="2" applyFont="1" applyFill="1" applyBorder="1" applyProtection="1"/>
    <xf numFmtId="44" fontId="5" fillId="0" borderId="0" xfId="2" applyFont="1" applyBorder="1" applyProtection="1"/>
    <xf numFmtId="0" fontId="3" fillId="0" borderId="4" xfId="0" applyFont="1" applyBorder="1" applyProtection="1">
      <protection locked="0"/>
    </xf>
    <xf numFmtId="0" fontId="3" fillId="0" borderId="3" xfId="0" applyFont="1" applyFill="1" applyBorder="1" applyProtection="1">
      <protection locked="0"/>
    </xf>
    <xf numFmtId="37" fontId="3" fillId="0" borderId="0" xfId="0" applyNumberFormat="1" applyFont="1" applyFill="1" applyBorder="1" applyProtection="1">
      <protection locked="0"/>
    </xf>
    <xf numFmtId="166" fontId="3" fillId="0" borderId="0" xfId="1" applyNumberFormat="1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0" xfId="0" applyFont="1" applyFill="1" applyBorder="1" applyProtection="1"/>
    <xf numFmtId="0" fontId="4" fillId="0" borderId="0" xfId="0" applyFont="1" applyFill="1"/>
    <xf numFmtId="0" fontId="5" fillId="0" borderId="10" xfId="0" applyFont="1" applyBorder="1" applyProtection="1">
      <protection locked="0"/>
    </xf>
    <xf numFmtId="5" fontId="3" fillId="7" borderId="11" xfId="0" applyNumberFormat="1" applyFont="1" applyFill="1" applyBorder="1" applyProtection="1">
      <protection locked="0"/>
    </xf>
    <xf numFmtId="5" fontId="3" fillId="7" borderId="0" xfId="0" applyNumberFormat="1" applyFont="1" applyFill="1" applyBorder="1" applyProtection="1">
      <protection locked="0"/>
    </xf>
    <xf numFmtId="44" fontId="3" fillId="8" borderId="4" xfId="0" applyNumberFormat="1" applyFont="1" applyFill="1" applyBorder="1" applyProtection="1">
      <protection locked="0"/>
    </xf>
    <xf numFmtId="44" fontId="3" fillId="8" borderId="0" xfId="0" applyNumberFormat="1" applyFont="1" applyFill="1" applyBorder="1" applyProtection="1">
      <protection locked="0"/>
    </xf>
    <xf numFmtId="0" fontId="3" fillId="0" borderId="0" xfId="0" applyFont="1" applyProtection="1"/>
    <xf numFmtId="37" fontId="3" fillId="0" borderId="0" xfId="0" applyNumberFormat="1" applyFont="1" applyProtection="1"/>
    <xf numFmtId="0" fontId="5" fillId="0" borderId="6" xfId="0" applyFont="1" applyBorder="1" applyProtection="1">
      <protection locked="0"/>
    </xf>
    <xf numFmtId="5" fontId="3" fillId="6" borderId="11" xfId="0" applyNumberFormat="1" applyFont="1" applyFill="1" applyBorder="1" applyProtection="1">
      <protection locked="0"/>
    </xf>
    <xf numFmtId="0" fontId="3" fillId="0" borderId="1" xfId="0" applyFont="1" applyBorder="1" applyProtection="1"/>
    <xf numFmtId="7" fontId="3" fillId="0" borderId="1" xfId="0" applyNumberFormat="1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10" fillId="0" borderId="3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10" borderId="7" xfId="0" applyFont="1" applyFill="1" applyBorder="1"/>
    <xf numFmtId="0" fontId="4" fillId="10" borderId="8" xfId="0" applyFont="1" applyFill="1" applyBorder="1"/>
    <xf numFmtId="5" fontId="4" fillId="10" borderId="8" xfId="0" applyNumberFormat="1" applyFont="1" applyFill="1" applyBorder="1"/>
    <xf numFmtId="10" fontId="4" fillId="10" borderId="9" xfId="3" applyNumberFormat="1" applyFont="1" applyFill="1" applyBorder="1"/>
    <xf numFmtId="10" fontId="4" fillId="0" borderId="0" xfId="3" applyNumberFormat="1" applyFont="1" applyBorder="1"/>
    <xf numFmtId="44" fontId="10" fillId="0" borderId="0" xfId="0" applyNumberFormat="1" applyFont="1" applyBorder="1"/>
    <xf numFmtId="10" fontId="10" fillId="0" borderId="4" xfId="3" applyNumberFormat="1" applyFont="1" applyBorder="1"/>
    <xf numFmtId="10" fontId="10" fillId="0" borderId="0" xfId="3" applyNumberFormat="1" applyFont="1" applyBorder="1"/>
    <xf numFmtId="0" fontId="10" fillId="0" borderId="0" xfId="0" applyFont="1" applyBorder="1" applyAlignment="1">
      <alignment horizontal="right"/>
    </xf>
    <xf numFmtId="37" fontId="4" fillId="0" borderId="3" xfId="0" applyNumberFormat="1" applyFont="1" applyBorder="1"/>
    <xf numFmtId="0" fontId="4" fillId="0" borderId="0" xfId="0" applyFont="1" applyBorder="1" applyAlignment="1">
      <alignment horizontal="right"/>
    </xf>
    <xf numFmtId="44" fontId="4" fillId="0" borderId="0" xfId="0" applyNumberFormat="1" applyFont="1" applyBorder="1"/>
    <xf numFmtId="5" fontId="4" fillId="0" borderId="0" xfId="0" applyNumberFormat="1" applyFont="1" applyBorder="1"/>
    <xf numFmtId="10" fontId="4" fillId="0" borderId="4" xfId="3" applyNumberFormat="1" applyFont="1" applyBorder="1"/>
    <xf numFmtId="0" fontId="5" fillId="0" borderId="3" xfId="0" applyFont="1" applyBorder="1" applyProtection="1"/>
    <xf numFmtId="5" fontId="10" fillId="0" borderId="0" xfId="0" applyNumberFormat="1" applyFont="1" applyBorder="1"/>
    <xf numFmtId="0" fontId="4" fillId="0" borderId="3" xfId="0" applyFont="1" applyBorder="1"/>
    <xf numFmtId="0" fontId="10" fillId="10" borderId="10" xfId="0" applyFont="1" applyFill="1" applyBorder="1"/>
    <xf numFmtId="0" fontId="4" fillId="10" borderId="6" xfId="0" applyFont="1" applyFill="1" applyBorder="1"/>
    <xf numFmtId="5" fontId="4" fillId="10" borderId="6" xfId="0" applyNumberFormat="1" applyFont="1" applyFill="1" applyBorder="1"/>
    <xf numFmtId="10" fontId="10" fillId="10" borderId="11" xfId="3" applyNumberFormat="1" applyFont="1" applyFill="1" applyBorder="1"/>
    <xf numFmtId="0" fontId="5" fillId="0" borderId="0" xfId="0" applyFont="1" applyBorder="1" applyAlignment="1" applyProtection="1">
      <alignment horizontal="center"/>
    </xf>
    <xf numFmtId="0" fontId="5" fillId="4" borderId="1" xfId="0" applyFont="1" applyFill="1" applyBorder="1" applyProtection="1">
      <protection locked="0"/>
    </xf>
    <xf numFmtId="0" fontId="11" fillId="0" borderId="5" xfId="0" applyFont="1" applyBorder="1" applyProtection="1">
      <protection locked="0"/>
    </xf>
    <xf numFmtId="5" fontId="3" fillId="3" borderId="0" xfId="0" applyNumberFormat="1" applyFont="1" applyFill="1" applyBorder="1" applyProtection="1"/>
    <xf numFmtId="0" fontId="5" fillId="0" borderId="5" xfId="0" applyFont="1" applyBorder="1" applyProtection="1"/>
    <xf numFmtId="0" fontId="4" fillId="10" borderId="0" xfId="0" applyFont="1" applyFill="1" applyBorder="1" applyProtection="1"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10" fontId="7" fillId="0" borderId="0" xfId="0" applyNumberFormat="1" applyFont="1" applyFill="1" applyBorder="1" applyProtection="1"/>
    <xf numFmtId="44" fontId="3" fillId="10" borderId="0" xfId="2" applyFont="1" applyFill="1" applyBorder="1" applyProtection="1"/>
    <xf numFmtId="0" fontId="12" fillId="10" borderId="0" xfId="0" applyFont="1" applyFill="1"/>
    <xf numFmtId="0" fontId="13" fillId="0" borderId="0" xfId="0" applyFont="1"/>
    <xf numFmtId="0" fontId="14" fillId="0" borderId="21" xfId="0" applyFont="1" applyBorder="1"/>
    <xf numFmtId="0" fontId="14" fillId="0" borderId="22" xfId="0" applyFont="1" applyBorder="1" applyAlignment="1">
      <alignment horizontal="right"/>
    </xf>
    <xf numFmtId="0" fontId="14" fillId="0" borderId="23" xfId="0" applyFont="1" applyBorder="1"/>
    <xf numFmtId="0" fontId="14" fillId="0" borderId="24" xfId="0" applyFont="1" applyBorder="1" applyAlignment="1">
      <alignment horizontal="right"/>
    </xf>
    <xf numFmtId="0" fontId="15" fillId="0" borderId="23" xfId="0" applyFont="1" applyBorder="1"/>
    <xf numFmtId="0" fontId="15" fillId="0" borderId="24" xfId="0" applyFont="1" applyBorder="1" applyAlignment="1">
      <alignment horizontal="right"/>
    </xf>
    <xf numFmtId="2" fontId="14" fillId="0" borderId="24" xfId="0" applyNumberFormat="1" applyFont="1" applyBorder="1" applyAlignment="1">
      <alignment horizontal="right"/>
    </xf>
    <xf numFmtId="0" fontId="14" fillId="0" borderId="0" xfId="0" applyFont="1"/>
    <xf numFmtId="167" fontId="16" fillId="0" borderId="25" xfId="0" applyNumberFormat="1" applyFont="1" applyFill="1" applyBorder="1"/>
    <xf numFmtId="167" fontId="16" fillId="0" borderId="26" xfId="0" applyNumberFormat="1" applyFont="1" applyFill="1" applyBorder="1"/>
    <xf numFmtId="168" fontId="16" fillId="0" borderId="0" xfId="0" applyNumberFormat="1" applyFont="1" applyFill="1" applyBorder="1"/>
    <xf numFmtId="3" fontId="14" fillId="0" borderId="20" xfId="0" applyNumberFormat="1" applyFont="1" applyFill="1" applyBorder="1"/>
    <xf numFmtId="167" fontId="16" fillId="0" borderId="0" xfId="0" applyNumberFormat="1" applyFont="1" applyFill="1" applyBorder="1"/>
    <xf numFmtId="167" fontId="14" fillId="0" borderId="0" xfId="0" applyNumberFormat="1" applyFont="1" applyFill="1" applyBorder="1"/>
    <xf numFmtId="6" fontId="16" fillId="0" borderId="0" xfId="0" applyNumberFormat="1" applyFont="1" applyFill="1" applyBorder="1" applyAlignment="1">
      <alignment horizontal="right"/>
    </xf>
    <xf numFmtId="4" fontId="14" fillId="0" borderId="19" xfId="0" applyNumberFormat="1" applyFont="1" applyFill="1" applyBorder="1"/>
    <xf numFmtId="0" fontId="4" fillId="10" borderId="0" xfId="0" applyFont="1" applyFill="1"/>
    <xf numFmtId="44" fontId="4" fillId="10" borderId="0" xfId="2" applyFont="1" applyFill="1"/>
    <xf numFmtId="44" fontId="4" fillId="0" borderId="0" xfId="2" applyFont="1"/>
    <xf numFmtId="167" fontId="4" fillId="0" borderId="13" xfId="0" applyNumberFormat="1" applyFont="1" applyFill="1" applyBorder="1"/>
    <xf numFmtId="167" fontId="4" fillId="0" borderId="0" xfId="0" applyNumberFormat="1" applyFont="1" applyFill="1" applyBorder="1"/>
    <xf numFmtId="167" fontId="4" fillId="0" borderId="17" xfId="0" applyNumberFormat="1" applyFont="1" applyFill="1" applyBorder="1"/>
    <xf numFmtId="0" fontId="4" fillId="0" borderId="25" xfId="0" applyFont="1" applyBorder="1"/>
    <xf numFmtId="1" fontId="4" fillId="0" borderId="26" xfId="0" applyNumberFormat="1" applyFont="1" applyBorder="1"/>
    <xf numFmtId="37" fontId="5" fillId="0" borderId="0" xfId="0" applyNumberFormat="1" applyFont="1" applyFill="1" applyBorder="1" applyProtection="1"/>
    <xf numFmtId="0" fontId="5" fillId="0" borderId="0" xfId="0" applyFont="1" applyBorder="1" applyAlignment="1" applyProtection="1">
      <alignment horizontal="left"/>
    </xf>
    <xf numFmtId="40" fontId="9" fillId="10" borderId="0" xfId="2" applyNumberFormat="1" applyFont="1" applyFill="1" applyBorder="1" applyProtection="1"/>
    <xf numFmtId="40" fontId="9" fillId="0" borderId="0" xfId="2" applyNumberFormat="1" applyFont="1" applyFill="1" applyBorder="1" applyProtection="1"/>
    <xf numFmtId="8" fontId="3" fillId="0" borderId="0" xfId="2" applyNumberFormat="1" applyFont="1" applyFill="1" applyBorder="1" applyProtection="1"/>
    <xf numFmtId="44" fontId="17" fillId="0" borderId="0" xfId="2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44" fontId="7" fillId="0" borderId="0" xfId="2" applyFont="1" applyBorder="1" applyProtection="1"/>
    <xf numFmtId="0" fontId="7" fillId="0" borderId="0" xfId="0" applyFont="1" applyBorder="1" applyAlignment="1" applyProtection="1">
      <alignment horizontal="left"/>
    </xf>
    <xf numFmtId="44" fontId="14" fillId="0" borderId="0" xfId="2" applyFont="1"/>
    <xf numFmtId="8" fontId="14" fillId="0" borderId="0" xfId="0" applyNumberFormat="1" applyFont="1"/>
    <xf numFmtId="44" fontId="14" fillId="0" borderId="0" xfId="0" applyNumberFormat="1" applyFont="1"/>
    <xf numFmtId="0" fontId="14" fillId="10" borderId="0" xfId="0" applyFont="1" applyFill="1"/>
    <xf numFmtId="0" fontId="14" fillId="0" borderId="0" xfId="0" applyFont="1" applyFill="1"/>
    <xf numFmtId="8" fontId="14" fillId="0" borderId="0" xfId="0" applyNumberFormat="1" applyFont="1" applyFill="1"/>
    <xf numFmtId="44" fontId="14" fillId="0" borderId="0" xfId="0" applyNumberFormat="1" applyFont="1" applyFill="1"/>
    <xf numFmtId="0" fontId="18" fillId="0" borderId="0" xfId="0" applyFont="1"/>
    <xf numFmtId="49" fontId="16" fillId="0" borderId="0" xfId="0" applyNumberFormat="1" applyFont="1" applyAlignment="1">
      <alignment horizontal="center" vertical="center" wrapText="1" readingOrder="1"/>
    </xf>
    <xf numFmtId="49" fontId="14" fillId="0" borderId="0" xfId="0" applyNumberFormat="1" applyFont="1" applyAlignment="1">
      <alignment horizontal="center" vertical="center" wrapText="1" readingOrder="1"/>
    </xf>
    <xf numFmtId="37" fontId="14" fillId="0" borderId="0" xfId="0" applyNumberFormat="1" applyFont="1"/>
    <xf numFmtId="40" fontId="14" fillId="0" borderId="0" xfId="0" applyNumberFormat="1" applyFont="1"/>
    <xf numFmtId="49" fontId="14" fillId="10" borderId="0" xfId="0" applyNumberFormat="1" applyFont="1" applyFill="1" applyAlignment="1">
      <alignment horizontal="center" vertical="center" wrapText="1" readingOrder="1"/>
    </xf>
    <xf numFmtId="10" fontId="3" fillId="0" borderId="0" xfId="3" applyNumberFormat="1" applyFont="1" applyBorder="1" applyAlignment="1" applyProtection="1">
      <alignment horizontal="right"/>
    </xf>
    <xf numFmtId="37" fontId="3" fillId="0" borderId="0" xfId="0" applyNumberFormat="1" applyFont="1" applyBorder="1" applyAlignment="1" applyProtection="1">
      <alignment horizontal="left"/>
    </xf>
    <xf numFmtId="10" fontId="4" fillId="0" borderId="0" xfId="3" applyNumberFormat="1" applyFont="1"/>
    <xf numFmtId="0" fontId="14" fillId="10" borderId="0" xfId="0" applyFont="1" applyFill="1" applyAlignment="1">
      <alignment horizontal="right"/>
    </xf>
    <xf numFmtId="0" fontId="18" fillId="0" borderId="0" xfId="0" applyFont="1" applyFill="1"/>
    <xf numFmtId="49" fontId="16" fillId="0" borderId="0" xfId="0" applyNumberFormat="1" applyFont="1" applyFill="1" applyAlignment="1">
      <alignment horizontal="center" vertical="center" wrapText="1" readingOrder="1"/>
    </xf>
    <xf numFmtId="49" fontId="14" fillId="0" borderId="0" xfId="0" applyNumberFormat="1" applyFont="1" applyFill="1" applyAlignment="1">
      <alignment horizontal="center" vertical="center" wrapText="1" readingOrder="1"/>
    </xf>
    <xf numFmtId="40" fontId="14" fillId="0" borderId="0" xfId="0" applyNumberFormat="1" applyFont="1" applyFill="1"/>
    <xf numFmtId="37" fontId="14" fillId="0" borderId="0" xfId="0" applyNumberFormat="1" applyFont="1" applyFill="1"/>
    <xf numFmtId="0" fontId="3" fillId="10" borderId="0" xfId="0" applyFont="1" applyFill="1" applyBorder="1" applyAlignment="1" applyProtection="1">
      <alignment horizontal="left"/>
    </xf>
    <xf numFmtId="38" fontId="7" fillId="10" borderId="0" xfId="0" applyNumberFormat="1" applyFont="1" applyFill="1" applyBorder="1" applyProtection="1"/>
    <xf numFmtId="0" fontId="7" fillId="10" borderId="0" xfId="0" applyFont="1" applyFill="1" applyBorder="1" applyProtection="1"/>
    <xf numFmtId="0" fontId="3" fillId="10" borderId="0" xfId="0" applyFont="1" applyFill="1" applyBorder="1" applyProtection="1"/>
    <xf numFmtId="37" fontId="9" fillId="10" borderId="0" xfId="0" applyNumberFormat="1" applyFont="1" applyFill="1" applyBorder="1" applyProtection="1"/>
    <xf numFmtId="37" fontId="5" fillId="10" borderId="0" xfId="0" applyNumberFormat="1" applyFont="1" applyFill="1" applyBorder="1" applyProtection="1"/>
    <xf numFmtId="37" fontId="7" fillId="10" borderId="0" xfId="0" applyNumberFormat="1" applyFont="1" applyFill="1" applyBorder="1" applyProtection="1"/>
    <xf numFmtId="37" fontId="11" fillId="0" borderId="0" xfId="0" applyNumberFormat="1" applyFont="1" applyBorder="1" applyAlignment="1" applyProtection="1">
      <alignment horizontal="left"/>
    </xf>
    <xf numFmtId="10" fontId="9" fillId="10" borderId="0" xfId="0" applyNumberFormat="1" applyFont="1" applyFill="1" applyBorder="1" applyProtection="1"/>
    <xf numFmtId="0" fontId="7" fillId="0" borderId="0" xfId="0" applyFont="1" applyBorder="1" applyAlignment="1" applyProtection="1">
      <alignment horizontal="center"/>
      <protection locked="0"/>
    </xf>
    <xf numFmtId="0" fontId="8" fillId="11" borderId="0" xfId="0" applyFont="1" applyFill="1" applyBorder="1" applyProtection="1"/>
    <xf numFmtId="0" fontId="8" fillId="0" borderId="0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holm1@lsuhsc.edu" TargetMode="External"/><Relationship Id="rId3" Type="http://schemas.openxmlformats.org/officeDocument/2006/relationships/hyperlink" Target="mailto:lbruni@lsuhsc.edu" TargetMode="External"/><Relationship Id="rId7" Type="http://schemas.openxmlformats.org/officeDocument/2006/relationships/hyperlink" Target="mailto:HGonza@lsuhsc.edu" TargetMode="External"/><Relationship Id="rId12" Type="http://schemas.openxmlformats.org/officeDocument/2006/relationships/hyperlink" Target="mailto:lborro@lsuhsc.edu" TargetMode="External"/><Relationship Id="rId2" Type="http://schemas.openxmlformats.org/officeDocument/2006/relationships/hyperlink" Target="mailto:kmart7@lsuhsc.edu" TargetMode="External"/><Relationship Id="rId1" Type="http://schemas.openxmlformats.org/officeDocument/2006/relationships/hyperlink" Target="mailto:agaffn@lsuhsc.edu" TargetMode="External"/><Relationship Id="rId6" Type="http://schemas.openxmlformats.org/officeDocument/2006/relationships/hyperlink" Target="mailto:rdiazd@lsuhsc.edu" TargetMode="External"/><Relationship Id="rId11" Type="http://schemas.openxmlformats.org/officeDocument/2006/relationships/hyperlink" Target="mailto:jjoh30@lsuhsc.edu" TargetMode="External"/><Relationship Id="rId5" Type="http://schemas.openxmlformats.org/officeDocument/2006/relationships/hyperlink" Target="mailto:adean2@lsuhsc.edu" TargetMode="External"/><Relationship Id="rId10" Type="http://schemas.openxmlformats.org/officeDocument/2006/relationships/hyperlink" Target="mailto:njohns@lsuhsc.edu" TargetMode="External"/><Relationship Id="rId4" Type="http://schemas.openxmlformats.org/officeDocument/2006/relationships/hyperlink" Target="mailto:bcope1@lsuhsc.edu" TargetMode="External"/><Relationship Id="rId9" Type="http://schemas.openxmlformats.org/officeDocument/2006/relationships/hyperlink" Target="mailto:elevit@lsuhs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view="pageBreakPreview" zoomScale="75" zoomScaleNormal="75" zoomScaleSheetLayoutView="75" workbookViewId="0">
      <selection activeCell="L2" sqref="L2"/>
    </sheetView>
  </sheetViews>
  <sheetFormatPr defaultRowHeight="15.75" x14ac:dyDescent="0.25"/>
  <cols>
    <col min="1" max="1" width="16.6640625" style="3" customWidth="1"/>
    <col min="2" max="2" width="10.5546875" style="3" customWidth="1"/>
    <col min="3" max="4" width="12.44140625" style="3" bestFit="1" customWidth="1"/>
    <col min="5" max="5" width="15.77734375" style="3" customWidth="1"/>
    <col min="6" max="6" width="14.21875" style="3" customWidth="1"/>
    <col min="7" max="7" width="16.109375" style="3" customWidth="1"/>
    <col min="8" max="8" width="16.77734375" style="3" customWidth="1"/>
    <col min="9" max="9" width="2.21875" style="3" customWidth="1"/>
    <col min="10" max="10" width="9.33203125" style="3" customWidth="1"/>
    <col min="11" max="11" width="19.88671875" style="3" customWidth="1"/>
    <col min="12" max="12" width="45.5546875" style="3" customWidth="1"/>
    <col min="13" max="13" width="20.6640625" style="3" customWidth="1"/>
    <col min="14" max="14" width="15.5546875" style="3" customWidth="1"/>
    <col min="15" max="15" width="15.109375" style="3" customWidth="1"/>
    <col min="16" max="16384" width="8.88671875" style="3"/>
  </cols>
  <sheetData>
    <row r="1" spans="1:23" ht="19.5" thickBot="1" x14ac:dyDescent="0.35">
      <c r="A1" s="218" t="s">
        <v>52</v>
      </c>
      <c r="B1" s="218"/>
      <c r="C1" s="218"/>
      <c r="D1" s="218"/>
      <c r="E1" s="218"/>
      <c r="F1" s="218"/>
      <c r="G1" s="218"/>
      <c r="H1" s="218"/>
      <c r="I1" s="140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1"/>
    </row>
    <row r="2" spans="1:23" ht="19.5" thickTop="1" x14ac:dyDescent="0.3">
      <c r="A2" s="4" t="s">
        <v>53</v>
      </c>
      <c r="B2" s="141" t="s">
        <v>37</v>
      </c>
      <c r="C2" s="5"/>
      <c r="D2" s="6"/>
      <c r="E2" s="7" t="s">
        <v>0</v>
      </c>
      <c r="F2" s="5" t="s">
        <v>142</v>
      </c>
      <c r="G2" s="8"/>
      <c r="H2" s="9"/>
      <c r="I2" s="10"/>
      <c r="J2" s="1"/>
      <c r="K2" s="217" t="s">
        <v>133</v>
      </c>
      <c r="L2" s="1"/>
      <c r="M2" s="1"/>
      <c r="N2" s="1"/>
      <c r="O2" s="2"/>
      <c r="P2" s="2"/>
      <c r="Q2" s="2"/>
      <c r="R2" s="2"/>
      <c r="S2" s="2"/>
      <c r="T2" s="1"/>
      <c r="U2" s="2"/>
      <c r="V2" s="11"/>
      <c r="W2" s="1"/>
    </row>
    <row r="3" spans="1:23" x14ac:dyDescent="0.25">
      <c r="A3" s="12" t="s">
        <v>54</v>
      </c>
      <c r="B3" s="13" t="s">
        <v>55</v>
      </c>
      <c r="C3" s="13"/>
      <c r="D3" s="14"/>
      <c r="E3" s="15"/>
      <c r="F3" s="16"/>
      <c r="G3" s="10"/>
      <c r="H3" s="17"/>
      <c r="I3" s="18"/>
      <c r="J3" s="1"/>
      <c r="K3" s="1"/>
      <c r="L3" s="1"/>
      <c r="M3" s="1"/>
      <c r="N3" s="1"/>
      <c r="O3" s="1"/>
      <c r="P3" s="1"/>
      <c r="Q3" s="19"/>
      <c r="R3" s="1"/>
      <c r="S3" s="1"/>
      <c r="T3" s="2"/>
      <c r="U3" s="2"/>
      <c r="V3" s="11"/>
      <c r="W3" s="1"/>
    </row>
    <row r="4" spans="1:23" x14ac:dyDescent="0.25">
      <c r="A4" s="12" t="s">
        <v>12</v>
      </c>
      <c r="B4" s="13" t="s">
        <v>56</v>
      </c>
      <c r="C4" s="13"/>
      <c r="D4" s="145"/>
      <c r="E4" s="10" t="s">
        <v>57</v>
      </c>
      <c r="F4" s="146" t="s">
        <v>58</v>
      </c>
      <c r="G4" s="13"/>
      <c r="H4" s="17"/>
      <c r="I4" s="18"/>
      <c r="J4" s="20" t="s">
        <v>34</v>
      </c>
      <c r="K4" s="20" t="s">
        <v>29</v>
      </c>
      <c r="L4" s="20" t="s">
        <v>30</v>
      </c>
      <c r="M4" s="20" t="s">
        <v>31</v>
      </c>
      <c r="N4" s="20"/>
      <c r="O4" s="1"/>
      <c r="P4" s="1"/>
      <c r="Q4" s="19"/>
      <c r="R4" s="1"/>
      <c r="S4" s="1"/>
      <c r="T4" s="2"/>
      <c r="U4" s="2"/>
      <c r="V4" s="11"/>
      <c r="W4" s="1"/>
    </row>
    <row r="5" spans="1:23" x14ac:dyDescent="0.25">
      <c r="A5" s="12" t="s">
        <v>25</v>
      </c>
      <c r="B5" s="10"/>
      <c r="C5" s="13"/>
      <c r="D5" s="14"/>
      <c r="E5" s="15"/>
      <c r="F5" s="16"/>
      <c r="G5" s="10"/>
      <c r="H5" s="17"/>
      <c r="I5" s="18"/>
      <c r="J5" s="21"/>
      <c r="K5" s="22">
        <f>+K6+K7</f>
        <v>60000</v>
      </c>
      <c r="L5" s="23" t="s">
        <v>98</v>
      </c>
      <c r="M5" s="24">
        <f t="shared" ref="M5:M10" si="0">+K5/$K$13</f>
        <v>0.69252077562326875</v>
      </c>
      <c r="N5" s="20"/>
      <c r="O5" s="1"/>
      <c r="P5" s="1"/>
      <c r="Q5" s="19"/>
      <c r="R5" s="1"/>
      <c r="S5" s="1"/>
      <c r="T5" s="2"/>
      <c r="U5" s="2"/>
      <c r="V5" s="11"/>
      <c r="W5" s="1"/>
    </row>
    <row r="6" spans="1:23" ht="16.5" thickBot="1" x14ac:dyDescent="0.3">
      <c r="A6" s="25" t="s">
        <v>1</v>
      </c>
      <c r="B6" s="26" t="s">
        <v>2</v>
      </c>
      <c r="C6" s="27">
        <v>43647</v>
      </c>
      <c r="D6" s="28"/>
      <c r="E6" s="29" t="s">
        <v>3</v>
      </c>
      <c r="F6" s="27">
        <v>44012</v>
      </c>
      <c r="G6" s="30"/>
      <c r="H6" s="31"/>
      <c r="I6" s="18"/>
      <c r="J6" s="147">
        <f>+K6/K5</f>
        <v>0.83333333333333337</v>
      </c>
      <c r="K6" s="148">
        <v>50000</v>
      </c>
      <c r="L6" s="207" t="s">
        <v>94</v>
      </c>
      <c r="M6" s="35">
        <f t="shared" si="0"/>
        <v>0.57710064635272396</v>
      </c>
      <c r="N6" s="20"/>
      <c r="O6" s="1"/>
      <c r="P6" s="1"/>
      <c r="Q6" s="19"/>
      <c r="R6" s="1"/>
      <c r="S6" s="1"/>
      <c r="T6" s="2"/>
      <c r="U6" s="2"/>
      <c r="V6" s="11"/>
      <c r="W6" s="1"/>
    </row>
    <row r="7" spans="1:23" ht="17.25" thickTop="1" thickBot="1" x14ac:dyDescent="0.3">
      <c r="A7" s="36"/>
      <c r="B7" s="37"/>
      <c r="C7" s="38"/>
      <c r="D7" s="39"/>
      <c r="E7" s="40"/>
      <c r="F7" s="38"/>
      <c r="G7" s="15"/>
      <c r="H7" s="41"/>
      <c r="I7" s="41"/>
      <c r="J7" s="147">
        <f>100%-J6</f>
        <v>0.16666666666666663</v>
      </c>
      <c r="K7" s="148">
        <v>10000</v>
      </c>
      <c r="L7" s="207" t="s">
        <v>95</v>
      </c>
      <c r="M7" s="35">
        <f t="shared" si="0"/>
        <v>0.11542012927054478</v>
      </c>
      <c r="N7" s="20"/>
      <c r="O7" s="1"/>
      <c r="P7" s="1"/>
      <c r="Q7" s="19"/>
      <c r="R7" s="1"/>
      <c r="S7" s="1"/>
      <c r="T7" s="2"/>
      <c r="U7" s="2"/>
      <c r="V7" s="11"/>
      <c r="W7" s="1"/>
    </row>
    <row r="8" spans="1:23" x14ac:dyDescent="0.25">
      <c r="A8" s="42" t="s">
        <v>28</v>
      </c>
      <c r="B8" s="43"/>
      <c r="C8" s="43"/>
      <c r="D8" s="43"/>
      <c r="E8" s="44">
        <f>+K39/(100%+D9+D10+D11)</f>
        <v>45124.999999999985</v>
      </c>
      <c r="F8" s="43"/>
      <c r="G8" s="45"/>
      <c r="H8" s="46"/>
      <c r="I8" s="18"/>
      <c r="J8" s="215">
        <v>0.43</v>
      </c>
      <c r="K8" s="33">
        <f>+K6*J8</f>
        <v>21500</v>
      </c>
      <c r="L8" s="34" t="s">
        <v>32</v>
      </c>
      <c r="M8" s="35">
        <f t="shared" si="0"/>
        <v>0.24815327793167127</v>
      </c>
      <c r="N8" s="20"/>
      <c r="O8" s="1"/>
      <c r="P8" s="1"/>
      <c r="Q8" s="19"/>
      <c r="R8" s="1"/>
      <c r="S8" s="1"/>
      <c r="T8" s="2"/>
      <c r="U8" s="2"/>
      <c r="V8" s="11"/>
      <c r="W8" s="1"/>
    </row>
    <row r="9" spans="1:23" x14ac:dyDescent="0.25">
      <c r="A9" s="47" t="s">
        <v>59</v>
      </c>
      <c r="B9" s="48"/>
      <c r="C9" s="48"/>
      <c r="D9" s="49">
        <f>+J18/2</f>
        <v>0.09</v>
      </c>
      <c r="E9" s="50">
        <f>+$E$8*D9</f>
        <v>4061.2499999999986</v>
      </c>
      <c r="F9" s="51"/>
      <c r="G9" s="10"/>
      <c r="H9" s="52"/>
      <c r="I9" s="18"/>
      <c r="J9" s="53"/>
      <c r="K9" s="54">
        <v>5000</v>
      </c>
      <c r="L9" s="207" t="s">
        <v>132</v>
      </c>
      <c r="M9" s="35">
        <f t="shared" si="0"/>
        <v>5.7710064635272389E-2</v>
      </c>
      <c r="N9" s="20"/>
      <c r="O9" s="1"/>
      <c r="P9" s="1"/>
      <c r="Q9" s="19"/>
      <c r="R9" s="1"/>
      <c r="S9" s="1"/>
      <c r="T9" s="2"/>
      <c r="U9" s="2"/>
      <c r="V9" s="11"/>
      <c r="W9" s="1"/>
    </row>
    <row r="10" spans="1:23" x14ac:dyDescent="0.25">
      <c r="A10" s="55" t="s">
        <v>60</v>
      </c>
      <c r="B10" s="48"/>
      <c r="C10" s="48"/>
      <c r="D10" s="49">
        <f>+J18-D9</f>
        <v>0.09</v>
      </c>
      <c r="E10" s="50">
        <f t="shared" ref="E10:E11" si="1">+$E$8*D10</f>
        <v>4061.2499999999986</v>
      </c>
      <c r="F10" s="51"/>
      <c r="G10" s="10"/>
      <c r="H10" s="52"/>
      <c r="I10" s="18"/>
      <c r="J10" s="32">
        <v>1.4E-2</v>
      </c>
      <c r="K10" s="33">
        <f>+K7*J10</f>
        <v>140</v>
      </c>
      <c r="L10" s="34" t="s">
        <v>33</v>
      </c>
      <c r="M10" s="35">
        <f t="shared" si="0"/>
        <v>1.6158818097876269E-3</v>
      </c>
      <c r="N10" s="20"/>
      <c r="O10" s="1"/>
      <c r="P10" s="1"/>
      <c r="Q10" s="19"/>
      <c r="R10" s="1"/>
      <c r="S10" s="1"/>
      <c r="T10" s="2"/>
      <c r="U10" s="2"/>
      <c r="V10" s="11"/>
      <c r="W10" s="1"/>
    </row>
    <row r="11" spans="1:23" x14ac:dyDescent="0.25">
      <c r="A11" s="55" t="s">
        <v>40</v>
      </c>
      <c r="B11" s="48"/>
      <c r="C11" s="48"/>
      <c r="D11" s="49">
        <f>M53</f>
        <v>0</v>
      </c>
      <c r="E11" s="50">
        <f t="shared" si="1"/>
        <v>0</v>
      </c>
      <c r="F11" s="51"/>
      <c r="G11" s="10"/>
      <c r="H11" s="52"/>
      <c r="I11" s="18"/>
      <c r="J11" s="56"/>
      <c r="K11" s="33"/>
      <c r="L11" s="34"/>
      <c r="M11" s="35"/>
      <c r="N11" s="20"/>
      <c r="O11" s="1"/>
      <c r="P11" s="1"/>
      <c r="Q11" s="19"/>
      <c r="R11" s="1"/>
      <c r="S11" s="1"/>
      <c r="T11" s="2"/>
      <c r="U11" s="2"/>
      <c r="V11" s="11"/>
      <c r="W11" s="1"/>
    </row>
    <row r="12" spans="1:23" ht="16.5" thickBot="1" x14ac:dyDescent="0.3">
      <c r="A12" s="57"/>
      <c r="B12" s="58"/>
      <c r="C12" s="58"/>
      <c r="D12" s="59"/>
      <c r="E12" s="60"/>
      <c r="F12" s="219" t="s">
        <v>26</v>
      </c>
      <c r="G12" s="219"/>
      <c r="H12" s="61">
        <f>SUM(E8:E12)</f>
        <v>53247.499999999985</v>
      </c>
      <c r="I12" s="62"/>
      <c r="J12" s="1"/>
      <c r="K12" s="33"/>
      <c r="L12" s="34"/>
      <c r="M12" s="35"/>
      <c r="N12" s="20"/>
      <c r="O12" s="2"/>
      <c r="P12" s="2"/>
      <c r="Q12" s="2"/>
      <c r="R12" s="2"/>
      <c r="S12" s="2"/>
      <c r="T12" s="2"/>
      <c r="U12" s="2"/>
      <c r="V12" s="2"/>
      <c r="W12" s="1"/>
    </row>
    <row r="13" spans="1:23" ht="16.5" thickBot="1" x14ac:dyDescent="0.3">
      <c r="A13" s="12"/>
      <c r="B13" s="10"/>
      <c r="C13" s="15"/>
      <c r="D13" s="14"/>
      <c r="E13" s="15"/>
      <c r="F13" s="16"/>
      <c r="G13" s="63"/>
      <c r="H13" s="10"/>
      <c r="I13" s="10"/>
      <c r="J13" s="1"/>
      <c r="K13" s="93">
        <f>SUM(K6:K12)</f>
        <v>86640</v>
      </c>
      <c r="L13" s="176" t="s">
        <v>35</v>
      </c>
      <c r="M13" s="35">
        <f>SUM(M6:M12)</f>
        <v>1</v>
      </c>
      <c r="N13" s="64"/>
      <c r="O13" s="35"/>
      <c r="P13" s="65"/>
      <c r="Q13" s="65"/>
      <c r="R13" s="65"/>
      <c r="S13" s="65"/>
      <c r="T13" s="66"/>
      <c r="U13" s="65"/>
      <c r="V13" s="65"/>
      <c r="W13" s="1"/>
    </row>
    <row r="14" spans="1:23" ht="16.5" thickTop="1" x14ac:dyDescent="0.25">
      <c r="A14" s="142" t="s">
        <v>42</v>
      </c>
      <c r="B14" s="6"/>
      <c r="C14" s="6"/>
      <c r="D14" s="6"/>
      <c r="E14" s="6"/>
      <c r="F14" s="6"/>
      <c r="G14" s="67"/>
      <c r="H14" s="68"/>
      <c r="I14" s="18"/>
      <c r="J14" s="1"/>
      <c r="K14" s="93"/>
      <c r="L14" s="176" t="s">
        <v>39</v>
      </c>
      <c r="M14" s="35"/>
      <c r="N14" s="65"/>
      <c r="O14" s="65"/>
      <c r="P14" s="69"/>
      <c r="Q14" s="65"/>
      <c r="R14" s="65"/>
      <c r="S14" s="65"/>
      <c r="T14" s="66"/>
      <c r="U14" s="65"/>
      <c r="V14" s="65"/>
      <c r="W14" s="1"/>
    </row>
    <row r="15" spans="1:23" x14ac:dyDescent="0.25">
      <c r="A15" s="12" t="s">
        <v>11</v>
      </c>
      <c r="B15" s="70" t="s">
        <v>6</v>
      </c>
      <c r="C15" s="14"/>
      <c r="D15" s="70" t="s">
        <v>7</v>
      </c>
      <c r="E15" s="216" t="s">
        <v>141</v>
      </c>
      <c r="F15" s="70" t="s">
        <v>4</v>
      </c>
      <c r="G15" s="10"/>
      <c r="H15" s="17"/>
      <c r="I15" s="18"/>
      <c r="J15" s="1"/>
      <c r="K15" s="33"/>
      <c r="L15" s="34"/>
      <c r="M15" s="35"/>
      <c r="N15" s="65"/>
      <c r="O15" s="65"/>
      <c r="P15" s="69"/>
      <c r="Q15" s="65"/>
      <c r="R15" s="65"/>
      <c r="S15" s="65"/>
      <c r="T15" s="66"/>
      <c r="U15" s="65"/>
      <c r="V15" s="65"/>
      <c r="W15" s="1"/>
    </row>
    <row r="16" spans="1:23" x14ac:dyDescent="0.25">
      <c r="A16" s="75" t="s">
        <v>41</v>
      </c>
      <c r="B16" s="70" t="s">
        <v>37</v>
      </c>
      <c r="C16" s="14"/>
      <c r="D16" s="76">
        <f>+E8*M6</f>
        <v>26041.666666666661</v>
      </c>
      <c r="E16" s="77">
        <f>(D16*$J$8)</f>
        <v>11197.916666666664</v>
      </c>
      <c r="F16" s="77">
        <f t="shared" ref="F16:F28" si="2">(D16+E16)</f>
        <v>37239.583333333328</v>
      </c>
      <c r="G16" s="10"/>
      <c r="H16" s="17"/>
      <c r="I16" s="18"/>
      <c r="J16" s="1"/>
      <c r="K16" s="33"/>
      <c r="L16" s="34"/>
      <c r="M16" s="35"/>
      <c r="N16" s="65"/>
      <c r="O16" s="65"/>
      <c r="P16" s="69"/>
      <c r="Q16" s="65"/>
      <c r="R16" s="65"/>
      <c r="S16" s="65"/>
      <c r="T16" s="66"/>
      <c r="U16" s="65"/>
      <c r="V16" s="65"/>
      <c r="W16" s="1"/>
    </row>
    <row r="17" spans="1:23" x14ac:dyDescent="0.25">
      <c r="A17" s="75"/>
      <c r="B17" s="70" t="s">
        <v>8</v>
      </c>
      <c r="C17" s="14"/>
      <c r="D17" s="76">
        <v>0</v>
      </c>
      <c r="E17" s="77">
        <f t="shared" ref="E17:E28" si="3">(D17*$J$8)</f>
        <v>0</v>
      </c>
      <c r="F17" s="77">
        <f t="shared" si="2"/>
        <v>0</v>
      </c>
      <c r="G17" s="10"/>
      <c r="H17" s="17"/>
      <c r="I17" s="18"/>
      <c r="J17" s="182" t="s">
        <v>99</v>
      </c>
      <c r="K17" s="183"/>
      <c r="L17" s="184"/>
      <c r="M17" s="35"/>
      <c r="N17" s="65"/>
      <c r="O17" s="65"/>
      <c r="P17" s="69"/>
      <c r="Q17" s="65"/>
      <c r="R17" s="65"/>
      <c r="S17" s="65"/>
      <c r="T17" s="66"/>
      <c r="U17" s="65"/>
      <c r="V17" s="65"/>
      <c r="W17" s="1"/>
    </row>
    <row r="18" spans="1:23" x14ac:dyDescent="0.25">
      <c r="A18" s="75"/>
      <c r="B18" s="70" t="s">
        <v>13</v>
      </c>
      <c r="C18" s="14"/>
      <c r="D18" s="76">
        <v>0</v>
      </c>
      <c r="E18" s="77">
        <f t="shared" si="3"/>
        <v>0</v>
      </c>
      <c r="F18" s="77">
        <f t="shared" si="2"/>
        <v>0</v>
      </c>
      <c r="G18" s="10"/>
      <c r="H18" s="17"/>
      <c r="I18" s="18"/>
      <c r="J18" s="32">
        <v>0.18</v>
      </c>
      <c r="K18" s="33">
        <f>+K13*J18</f>
        <v>15595.199999999999</v>
      </c>
      <c r="L18" s="34" t="s">
        <v>96</v>
      </c>
      <c r="M18" s="35"/>
      <c r="N18" s="65"/>
      <c r="O18" s="65"/>
      <c r="P18" s="69"/>
      <c r="Q18" s="65"/>
      <c r="R18" s="65"/>
      <c r="S18" s="65"/>
      <c r="T18" s="66"/>
      <c r="U18" s="65"/>
      <c r="V18" s="65"/>
      <c r="W18" s="1"/>
    </row>
    <row r="19" spans="1:23" x14ac:dyDescent="0.25">
      <c r="A19" s="75"/>
      <c r="B19" s="70" t="s">
        <v>14</v>
      </c>
      <c r="C19" s="14"/>
      <c r="D19" s="76">
        <v>0</v>
      </c>
      <c r="E19" s="77">
        <f t="shared" si="3"/>
        <v>0</v>
      </c>
      <c r="F19" s="77">
        <f t="shared" si="2"/>
        <v>0</v>
      </c>
      <c r="G19" s="10"/>
      <c r="H19" s="17"/>
      <c r="I19" s="18"/>
      <c r="J19" s="1"/>
      <c r="K19" s="33"/>
      <c r="L19" s="34"/>
      <c r="M19" s="35"/>
      <c r="N19" s="65"/>
      <c r="O19" s="65"/>
      <c r="P19" s="69"/>
      <c r="Q19" s="65"/>
      <c r="R19" s="65"/>
      <c r="S19" s="65"/>
      <c r="T19" s="66"/>
      <c r="U19" s="65"/>
      <c r="V19" s="65"/>
      <c r="W19" s="1"/>
    </row>
    <row r="20" spans="1:23" x14ac:dyDescent="0.25">
      <c r="A20" s="75"/>
      <c r="B20" s="70"/>
      <c r="C20" s="14"/>
      <c r="D20" s="76">
        <v>0</v>
      </c>
      <c r="E20" s="77">
        <f t="shared" si="3"/>
        <v>0</v>
      </c>
      <c r="F20" s="77">
        <f t="shared" si="2"/>
        <v>0</v>
      </c>
      <c r="G20" s="10"/>
      <c r="H20" s="17"/>
      <c r="I20" s="18"/>
      <c r="J20" s="1"/>
      <c r="K20" s="33"/>
      <c r="L20" s="34"/>
      <c r="M20" s="35"/>
      <c r="N20" s="65"/>
      <c r="O20" s="65"/>
      <c r="P20" s="69"/>
      <c r="Q20" s="65"/>
      <c r="R20" s="65"/>
      <c r="S20" s="65"/>
      <c r="T20" s="66"/>
      <c r="U20" s="65"/>
      <c r="V20" s="65"/>
      <c r="W20" s="1"/>
    </row>
    <row r="21" spans="1:23" ht="18" x14ac:dyDescent="0.4">
      <c r="A21" s="75"/>
      <c r="B21" s="70"/>
      <c r="C21" s="14"/>
      <c r="D21" s="76">
        <v>0</v>
      </c>
      <c r="E21" s="77">
        <f t="shared" si="3"/>
        <v>0</v>
      </c>
      <c r="F21" s="77">
        <f t="shared" si="2"/>
        <v>0</v>
      </c>
      <c r="G21" s="10"/>
      <c r="H21" s="17"/>
      <c r="I21" s="18"/>
      <c r="J21" s="71"/>
      <c r="K21" s="180">
        <f>+K13+K18</f>
        <v>102235.2</v>
      </c>
      <c r="L21" s="181" t="s">
        <v>134</v>
      </c>
      <c r="M21" s="198">
        <f>+(K6+K7+K9)/K21</f>
        <v>0.63578884767672972</v>
      </c>
      <c r="N21" s="199" t="s">
        <v>123</v>
      </c>
      <c r="O21" s="2"/>
      <c r="P21" s="2"/>
      <c r="Q21" s="2"/>
      <c r="R21" s="2"/>
      <c r="S21" s="2"/>
      <c r="T21" s="74"/>
      <c r="U21" s="2"/>
      <c r="V21" s="65"/>
      <c r="W21" s="1"/>
    </row>
    <row r="22" spans="1:23" x14ac:dyDescent="0.25">
      <c r="A22" s="75"/>
      <c r="B22" s="70"/>
      <c r="C22" s="14"/>
      <c r="D22" s="76">
        <v>0</v>
      </c>
      <c r="E22" s="77">
        <f t="shared" si="3"/>
        <v>0</v>
      </c>
      <c r="F22" s="77">
        <f t="shared" si="2"/>
        <v>0</v>
      </c>
      <c r="G22" s="10"/>
      <c r="H22" s="17"/>
      <c r="I22" s="18"/>
      <c r="J22" s="78"/>
      <c r="K22" s="72"/>
      <c r="L22" s="34"/>
      <c r="M22" s="73"/>
      <c r="N22" s="2"/>
      <c r="O22" s="2"/>
      <c r="P22" s="2"/>
      <c r="Q22" s="2"/>
      <c r="R22" s="2"/>
      <c r="S22" s="2"/>
      <c r="T22" s="74"/>
      <c r="U22" s="2"/>
      <c r="V22" s="79"/>
      <c r="W22" s="1"/>
    </row>
    <row r="23" spans="1:23" x14ac:dyDescent="0.25">
      <c r="A23" s="75"/>
      <c r="B23" s="70"/>
      <c r="C23" s="14"/>
      <c r="D23" s="76">
        <v>0</v>
      </c>
      <c r="E23" s="77">
        <f t="shared" si="3"/>
        <v>0</v>
      </c>
      <c r="F23" s="77">
        <f t="shared" si="2"/>
        <v>0</v>
      </c>
      <c r="G23" s="10"/>
      <c r="H23" s="17"/>
      <c r="I23" s="18"/>
      <c r="J23" s="80"/>
      <c r="K23" s="92">
        <f>+K21/12</f>
        <v>8519.6</v>
      </c>
      <c r="L23" s="91" t="s">
        <v>51</v>
      </c>
      <c r="M23" s="2"/>
      <c r="N23" s="1"/>
      <c r="O23" s="1"/>
      <c r="P23" s="2"/>
      <c r="Q23" s="2"/>
      <c r="R23" s="2"/>
      <c r="S23" s="2"/>
      <c r="T23" s="74"/>
      <c r="U23" s="2"/>
      <c r="V23" s="79"/>
      <c r="W23" s="1"/>
    </row>
    <row r="24" spans="1:23" x14ac:dyDescent="0.25">
      <c r="A24" s="75"/>
      <c r="B24" s="70"/>
      <c r="C24" s="14"/>
      <c r="D24" s="76">
        <v>0</v>
      </c>
      <c r="E24" s="77">
        <f t="shared" si="3"/>
        <v>0</v>
      </c>
      <c r="F24" s="77">
        <f t="shared" si="2"/>
        <v>0</v>
      </c>
      <c r="G24" s="10"/>
      <c r="H24" s="17"/>
      <c r="I24" s="18"/>
      <c r="J24" s="80"/>
      <c r="K24" s="92"/>
      <c r="L24" s="91"/>
      <c r="M24" s="2"/>
      <c r="N24" s="1"/>
      <c r="O24" s="1"/>
      <c r="P24" s="2"/>
      <c r="Q24" s="2"/>
      <c r="R24" s="2"/>
      <c r="S24" s="2"/>
      <c r="T24" s="74"/>
      <c r="U24" s="2"/>
      <c r="V24" s="79"/>
      <c r="W24" s="1"/>
    </row>
    <row r="25" spans="1:23" x14ac:dyDescent="0.25">
      <c r="A25" s="75"/>
      <c r="B25" s="70"/>
      <c r="C25" s="14"/>
      <c r="D25" s="76">
        <v>0</v>
      </c>
      <c r="E25" s="77">
        <f t="shared" si="3"/>
        <v>0</v>
      </c>
      <c r="F25" s="77">
        <f t="shared" ref="F25:F27" si="4">(D25+E25)</f>
        <v>0</v>
      </c>
      <c r="G25" s="10"/>
      <c r="H25" s="17"/>
      <c r="I25" s="18"/>
      <c r="J25" s="80"/>
      <c r="K25" s="93">
        <f>+K21/M25</f>
        <v>53.247499999999995</v>
      </c>
      <c r="L25" s="34" t="s">
        <v>62</v>
      </c>
      <c r="M25" s="208">
        <f>+'Hours per FTE'!A23</f>
        <v>1920</v>
      </c>
      <c r="N25" s="209" t="s">
        <v>61</v>
      </c>
      <c r="O25" s="1"/>
      <c r="P25" s="2"/>
      <c r="Q25" s="2"/>
      <c r="R25" s="2"/>
      <c r="S25" s="2"/>
      <c r="T25" s="74"/>
      <c r="U25" s="2"/>
      <c r="V25" s="79"/>
      <c r="W25" s="1"/>
    </row>
    <row r="26" spans="1:23" x14ac:dyDescent="0.25">
      <c r="A26" s="75"/>
      <c r="B26" s="70"/>
      <c r="C26" s="14"/>
      <c r="D26" s="76">
        <v>0</v>
      </c>
      <c r="E26" s="77">
        <f t="shared" si="3"/>
        <v>0</v>
      </c>
      <c r="F26" s="77">
        <f t="shared" si="4"/>
        <v>0</v>
      </c>
      <c r="G26" s="10"/>
      <c r="H26" s="17"/>
      <c r="I26" s="18"/>
      <c r="J26" s="80"/>
      <c r="M26" s="3">
        <f>+M25/12</f>
        <v>160</v>
      </c>
      <c r="N26" s="2" t="s">
        <v>92</v>
      </c>
      <c r="O26" s="2"/>
      <c r="P26" s="2"/>
      <c r="Q26" s="2"/>
      <c r="R26" s="2"/>
      <c r="S26" s="2"/>
      <c r="T26" s="74"/>
      <c r="U26" s="2"/>
      <c r="V26" s="79"/>
      <c r="W26" s="1"/>
    </row>
    <row r="27" spans="1:23" x14ac:dyDescent="0.25">
      <c r="A27" s="75"/>
      <c r="B27" s="70"/>
      <c r="C27" s="14"/>
      <c r="D27" s="76">
        <v>0</v>
      </c>
      <c r="E27" s="77">
        <f t="shared" si="3"/>
        <v>0</v>
      </c>
      <c r="F27" s="77">
        <f t="shared" si="4"/>
        <v>0</v>
      </c>
      <c r="G27" s="10"/>
      <c r="H27" s="17"/>
      <c r="I27" s="18"/>
      <c r="J27" s="80"/>
      <c r="N27" s="2"/>
      <c r="O27" s="2"/>
      <c r="P27" s="2"/>
      <c r="Q27" s="2"/>
      <c r="R27" s="2"/>
      <c r="S27" s="2"/>
      <c r="T27" s="74"/>
      <c r="U27" s="2"/>
      <c r="V27" s="79"/>
      <c r="W27" s="1"/>
    </row>
    <row r="28" spans="1:23" x14ac:dyDescent="0.25">
      <c r="A28" s="75"/>
      <c r="B28" s="70"/>
      <c r="C28" s="14"/>
      <c r="D28" s="76">
        <v>0</v>
      </c>
      <c r="E28" s="77">
        <f t="shared" si="3"/>
        <v>0</v>
      </c>
      <c r="F28" s="77">
        <f t="shared" si="2"/>
        <v>0</v>
      </c>
      <c r="G28" s="10"/>
      <c r="H28" s="17"/>
      <c r="I28" s="18"/>
      <c r="J28" s="80"/>
      <c r="N28" s="2"/>
      <c r="O28" s="2"/>
      <c r="P28" s="2"/>
      <c r="Q28" s="2"/>
      <c r="R28" s="2"/>
      <c r="S28" s="2"/>
      <c r="T28" s="74"/>
      <c r="U28" s="2"/>
      <c r="V28" s="79"/>
      <c r="W28" s="1"/>
    </row>
    <row r="29" spans="1:23" x14ac:dyDescent="0.25">
      <c r="A29" s="12" t="s">
        <v>129</v>
      </c>
      <c r="B29" s="10"/>
      <c r="C29" s="14"/>
      <c r="D29" s="77">
        <f>SUM(D16:D28)</f>
        <v>26041.666666666661</v>
      </c>
      <c r="E29" s="10"/>
      <c r="F29" s="10" t="s">
        <v>9</v>
      </c>
      <c r="G29" s="10"/>
      <c r="H29" s="86">
        <f>SUM(F16:F28)</f>
        <v>37239.583333333328</v>
      </c>
      <c r="I29" s="18"/>
      <c r="J29" s="80"/>
      <c r="N29" s="2"/>
      <c r="O29" s="2"/>
      <c r="P29" s="2"/>
      <c r="Q29" s="2"/>
      <c r="R29" s="2"/>
      <c r="S29" s="2"/>
      <c r="T29" s="74"/>
      <c r="U29" s="2"/>
      <c r="V29" s="79"/>
      <c r="W29" s="1"/>
    </row>
    <row r="30" spans="1:23" ht="16.5" thickBot="1" x14ac:dyDescent="0.3">
      <c r="A30" s="12"/>
      <c r="B30" s="10"/>
      <c r="C30" s="14"/>
      <c r="D30" s="10"/>
      <c r="E30" s="10"/>
      <c r="F30" s="10"/>
      <c r="G30" s="10"/>
      <c r="H30" s="17"/>
      <c r="I30" s="18"/>
      <c r="J30" s="85"/>
      <c r="N30" s="2"/>
      <c r="O30" s="2"/>
      <c r="P30" s="2"/>
      <c r="Q30" s="2"/>
      <c r="R30" s="2"/>
      <c r="S30" s="2"/>
      <c r="T30" s="74"/>
      <c r="U30" s="2"/>
      <c r="V30" s="79"/>
      <c r="W30" s="1"/>
    </row>
    <row r="31" spans="1:23" ht="16.5" thickTop="1" x14ac:dyDescent="0.25">
      <c r="A31" s="142" t="s">
        <v>43</v>
      </c>
      <c r="B31" s="6"/>
      <c r="C31" s="6"/>
      <c r="D31" s="6"/>
      <c r="E31" s="6"/>
      <c r="F31" s="6"/>
      <c r="G31" s="67"/>
      <c r="H31" s="68"/>
      <c r="I31" s="18"/>
      <c r="J31" s="85"/>
      <c r="N31" s="2"/>
      <c r="O31" s="2"/>
      <c r="P31" s="2"/>
      <c r="Q31" s="2"/>
      <c r="R31" s="2"/>
      <c r="S31" s="2"/>
      <c r="T31" s="74"/>
      <c r="U31" s="2"/>
      <c r="V31" s="79"/>
      <c r="W31" s="1"/>
    </row>
    <row r="32" spans="1:23" x14ac:dyDescent="0.25">
      <c r="A32" s="12" t="s">
        <v>24</v>
      </c>
      <c r="B32" s="70" t="s">
        <v>6</v>
      </c>
      <c r="C32" s="10"/>
      <c r="D32" s="14" t="s">
        <v>27</v>
      </c>
      <c r="E32" s="10" t="s">
        <v>50</v>
      </c>
      <c r="F32" s="70" t="s">
        <v>10</v>
      </c>
      <c r="G32" s="10"/>
      <c r="H32" s="17"/>
      <c r="I32" s="18"/>
      <c r="J32" s="85"/>
      <c r="N32" s="2"/>
      <c r="O32" s="2"/>
      <c r="P32" s="2"/>
      <c r="Q32" s="2"/>
      <c r="R32" s="2"/>
      <c r="S32" s="2"/>
      <c r="T32" s="74"/>
      <c r="U32" s="2"/>
      <c r="V32" s="79"/>
      <c r="W32" s="1"/>
    </row>
    <row r="33" spans="1:23" x14ac:dyDescent="0.25">
      <c r="A33" s="75" t="s">
        <v>41</v>
      </c>
      <c r="B33" s="70" t="s">
        <v>37</v>
      </c>
      <c r="C33" s="10"/>
      <c r="D33" s="76">
        <f>+E8*M7</f>
        <v>5208.3333333333312</v>
      </c>
      <c r="E33" s="88">
        <f>D33*$J$10</f>
        <v>72.916666666666643</v>
      </c>
      <c r="F33" s="89">
        <f>SUM(D33:E33)</f>
        <v>5281.2499999999982</v>
      </c>
      <c r="G33" s="10"/>
      <c r="H33" s="17"/>
      <c r="I33" s="18"/>
      <c r="J33" s="85"/>
      <c r="N33" s="2"/>
      <c r="O33" s="2"/>
      <c r="P33" s="2"/>
      <c r="Q33" s="2"/>
      <c r="R33" s="2"/>
      <c r="S33" s="2"/>
      <c r="T33" s="74"/>
      <c r="U33" s="2"/>
      <c r="V33" s="79"/>
      <c r="W33" s="1"/>
    </row>
    <row r="34" spans="1:23" x14ac:dyDescent="0.25">
      <c r="A34" s="75"/>
      <c r="B34" s="70" t="s">
        <v>8</v>
      </c>
      <c r="C34" s="10"/>
      <c r="D34" s="76">
        <v>0</v>
      </c>
      <c r="E34" s="88">
        <f t="shared" ref="E34:E45" si="5">D34*$J$10</f>
        <v>0</v>
      </c>
      <c r="F34" s="89">
        <f t="shared" ref="F34:F45" si="6">SUM(D34:E34)</f>
        <v>0</v>
      </c>
      <c r="G34" s="10"/>
      <c r="H34" s="17"/>
      <c r="I34" s="18"/>
      <c r="J34" s="85"/>
      <c r="K34" s="81"/>
      <c r="L34" s="84"/>
      <c r="M34" s="84"/>
      <c r="N34" s="2"/>
      <c r="O34" s="2"/>
      <c r="P34" s="2"/>
      <c r="Q34" s="2"/>
      <c r="R34" s="2"/>
      <c r="S34" s="2"/>
      <c r="T34" s="74"/>
      <c r="U34" s="2"/>
      <c r="V34" s="79"/>
      <c r="W34" s="1"/>
    </row>
    <row r="35" spans="1:23" x14ac:dyDescent="0.25">
      <c r="A35" s="75"/>
      <c r="B35" s="70" t="s">
        <v>13</v>
      </c>
      <c r="C35" s="10"/>
      <c r="D35" s="76">
        <v>0</v>
      </c>
      <c r="E35" s="88">
        <f t="shared" si="5"/>
        <v>0</v>
      </c>
      <c r="F35" s="89">
        <f t="shared" si="6"/>
        <v>0</v>
      </c>
      <c r="G35" s="10"/>
      <c r="H35" s="17"/>
      <c r="I35" s="87"/>
      <c r="J35" s="78"/>
      <c r="K35" s="33"/>
      <c r="L35" s="2"/>
      <c r="M35" s="2"/>
      <c r="N35" s="2"/>
      <c r="O35" s="2"/>
      <c r="P35" s="2"/>
      <c r="Q35" s="2"/>
      <c r="R35" s="2"/>
      <c r="S35" s="2"/>
      <c r="T35" s="74"/>
      <c r="U35" s="2"/>
      <c r="V35" s="79"/>
      <c r="W35" s="1"/>
    </row>
    <row r="36" spans="1:23" x14ac:dyDescent="0.25">
      <c r="A36" s="75"/>
      <c r="B36" s="70" t="s">
        <v>14</v>
      </c>
      <c r="C36" s="10"/>
      <c r="D36" s="76">
        <v>0</v>
      </c>
      <c r="E36" s="88">
        <f t="shared" si="5"/>
        <v>0</v>
      </c>
      <c r="F36" s="89">
        <f t="shared" si="6"/>
        <v>0</v>
      </c>
      <c r="G36" s="10"/>
      <c r="H36" s="17"/>
      <c r="I36" s="18"/>
      <c r="J36" s="78"/>
      <c r="K36" s="33"/>
      <c r="L36" s="2"/>
      <c r="M36" s="2"/>
      <c r="N36" s="2"/>
      <c r="O36" s="1"/>
      <c r="P36" s="2"/>
      <c r="Q36" s="2"/>
      <c r="R36" s="2"/>
      <c r="S36" s="2"/>
      <c r="T36" s="2"/>
      <c r="U36" s="2"/>
      <c r="V36" s="2"/>
      <c r="W36" s="1"/>
    </row>
    <row r="37" spans="1:23" x14ac:dyDescent="0.25">
      <c r="A37" s="75"/>
      <c r="B37" s="10"/>
      <c r="C37" s="10"/>
      <c r="D37" s="76">
        <v>0</v>
      </c>
      <c r="E37" s="88">
        <f t="shared" si="5"/>
        <v>0</v>
      </c>
      <c r="F37" s="89">
        <f t="shared" si="6"/>
        <v>0</v>
      </c>
      <c r="G37" s="10"/>
      <c r="H37" s="17"/>
      <c r="I37" s="18"/>
      <c r="J37" s="1"/>
      <c r="K37" s="33"/>
      <c r="L37" s="2"/>
      <c r="M37" s="2"/>
      <c r="N37" s="1"/>
      <c r="O37" s="1"/>
      <c r="P37" s="2"/>
      <c r="Q37" s="2"/>
      <c r="R37" s="2"/>
      <c r="S37" s="2"/>
      <c r="T37" s="2"/>
      <c r="U37" s="2"/>
      <c r="V37" s="2"/>
      <c r="W37" s="1"/>
    </row>
    <row r="38" spans="1:23" x14ac:dyDescent="0.25">
      <c r="A38" s="75"/>
      <c r="B38" s="10"/>
      <c r="C38" s="10"/>
      <c r="D38" s="76">
        <v>0</v>
      </c>
      <c r="E38" s="88">
        <f t="shared" si="5"/>
        <v>0</v>
      </c>
      <c r="F38" s="89">
        <f t="shared" si="6"/>
        <v>0</v>
      </c>
      <c r="G38" s="10"/>
      <c r="H38" s="17"/>
      <c r="I38" s="18"/>
      <c r="J38" s="1"/>
      <c r="K38" s="33"/>
      <c r="L38" s="2"/>
      <c r="M38" s="2"/>
      <c r="N38" s="1"/>
      <c r="O38" s="1"/>
      <c r="P38" s="2"/>
      <c r="Q38" s="2"/>
      <c r="R38" s="2"/>
      <c r="S38" s="2"/>
      <c r="T38" s="2"/>
      <c r="U38" s="2"/>
      <c r="V38" s="2"/>
      <c r="W38" s="1"/>
    </row>
    <row r="39" spans="1:23" x14ac:dyDescent="0.25">
      <c r="A39" s="75"/>
      <c r="B39" s="10"/>
      <c r="C39" s="10"/>
      <c r="D39" s="76">
        <v>0</v>
      </c>
      <c r="E39" s="88">
        <f t="shared" si="5"/>
        <v>0</v>
      </c>
      <c r="F39" s="89">
        <f t="shared" si="6"/>
        <v>0</v>
      </c>
      <c r="G39" s="10"/>
      <c r="H39" s="17"/>
      <c r="I39" s="18"/>
      <c r="J39" s="1"/>
      <c r="K39" s="90">
        <f>+K25*M41</f>
        <v>53247.499999999993</v>
      </c>
      <c r="L39" s="91" t="s">
        <v>38</v>
      </c>
      <c r="M39" s="2"/>
      <c r="N39" s="1"/>
      <c r="O39" s="1"/>
      <c r="P39" s="2"/>
      <c r="Q39" s="2"/>
      <c r="R39" s="2"/>
      <c r="S39" s="2"/>
      <c r="T39" s="2"/>
      <c r="U39" s="2"/>
      <c r="V39" s="2"/>
      <c r="W39" s="1"/>
    </row>
    <row r="40" spans="1:23" x14ac:dyDescent="0.25">
      <c r="A40" s="75"/>
      <c r="B40" s="10"/>
      <c r="C40" s="10"/>
      <c r="D40" s="76">
        <v>0</v>
      </c>
      <c r="E40" s="88">
        <f t="shared" si="5"/>
        <v>0</v>
      </c>
      <c r="F40" s="89">
        <f t="shared" si="6"/>
        <v>0</v>
      </c>
      <c r="G40" s="10"/>
      <c r="H40" s="17"/>
      <c r="I40" s="18"/>
      <c r="J40" s="1"/>
      <c r="K40" s="92"/>
      <c r="L40" s="91"/>
      <c r="M40" s="214" t="s">
        <v>139</v>
      </c>
      <c r="N40" s="20"/>
      <c r="O40" s="20"/>
      <c r="P40" s="2"/>
      <c r="Q40" s="2"/>
      <c r="R40" s="2"/>
      <c r="S40" s="2"/>
      <c r="T40" s="2"/>
      <c r="U40" s="2"/>
      <c r="V40" s="2"/>
      <c r="W40" s="1"/>
    </row>
    <row r="41" spans="1:23" x14ac:dyDescent="0.25">
      <c r="A41" s="75"/>
      <c r="B41" s="10"/>
      <c r="C41" s="10"/>
      <c r="D41" s="76">
        <v>0</v>
      </c>
      <c r="E41" s="88">
        <f t="shared" si="5"/>
        <v>0</v>
      </c>
      <c r="F41" s="89">
        <f t="shared" si="6"/>
        <v>0</v>
      </c>
      <c r="G41" s="10"/>
      <c r="H41" s="17"/>
      <c r="I41" s="18"/>
      <c r="J41" s="1"/>
      <c r="K41" s="177">
        <f>+M41/M25</f>
        <v>0.52083333333333337</v>
      </c>
      <c r="L41" s="212" t="s">
        <v>138</v>
      </c>
      <c r="M41" s="213">
        <v>1000</v>
      </c>
      <c r="N41" s="210" t="s">
        <v>140</v>
      </c>
      <c r="O41" s="210"/>
      <c r="P41" s="2"/>
      <c r="Q41" s="2"/>
      <c r="R41" s="2"/>
      <c r="S41" s="2"/>
      <c r="T41" s="2"/>
      <c r="U41" s="2"/>
      <c r="V41" s="2"/>
      <c r="W41" s="1"/>
    </row>
    <row r="42" spans="1:23" x14ac:dyDescent="0.25">
      <c r="A42" s="75"/>
      <c r="B42" s="10"/>
      <c r="C42" s="10"/>
      <c r="D42" s="76">
        <v>0</v>
      </c>
      <c r="E42" s="88">
        <f t="shared" si="5"/>
        <v>0</v>
      </c>
      <c r="F42" s="89">
        <f t="shared" si="6"/>
        <v>0</v>
      </c>
      <c r="G42" s="10"/>
      <c r="H42" s="17"/>
      <c r="I42" s="18"/>
      <c r="J42" s="1"/>
      <c r="K42" s="178"/>
      <c r="L42" s="91"/>
      <c r="M42" s="2">
        <f>+M41/M44</f>
        <v>83.333333333333329</v>
      </c>
      <c r="N42" s="1" t="s">
        <v>115</v>
      </c>
      <c r="O42" s="1"/>
      <c r="P42" s="2"/>
      <c r="Q42" s="2"/>
      <c r="R42" s="2"/>
      <c r="S42" s="2"/>
      <c r="T42" s="2"/>
      <c r="U42" s="2"/>
      <c r="V42" s="2"/>
      <c r="W42" s="1"/>
    </row>
    <row r="43" spans="1:23" x14ac:dyDescent="0.25">
      <c r="A43" s="75"/>
      <c r="B43" s="10"/>
      <c r="C43" s="10"/>
      <c r="D43" s="76">
        <v>0</v>
      </c>
      <c r="E43" s="88">
        <f t="shared" si="5"/>
        <v>0</v>
      </c>
      <c r="F43" s="89">
        <f t="shared" si="6"/>
        <v>0</v>
      </c>
      <c r="G43" s="10"/>
      <c r="H43" s="17"/>
      <c r="I43" s="18"/>
      <c r="J43" s="1"/>
      <c r="K43" s="92">
        <f>+K39/M44</f>
        <v>4437.2916666666661</v>
      </c>
      <c r="L43" s="91" t="s">
        <v>90</v>
      </c>
      <c r="M43" s="2"/>
      <c r="N43" s="1"/>
      <c r="O43" s="1"/>
      <c r="P43" s="2"/>
      <c r="Q43" s="2"/>
      <c r="R43" s="2"/>
      <c r="S43" s="2"/>
      <c r="T43" s="2"/>
      <c r="U43" s="2"/>
      <c r="V43" s="2"/>
      <c r="W43" s="1"/>
    </row>
    <row r="44" spans="1:23" x14ac:dyDescent="0.25">
      <c r="A44" s="75"/>
      <c r="B44" s="10"/>
      <c r="C44" s="10"/>
      <c r="D44" s="76">
        <v>0</v>
      </c>
      <c r="E44" s="88">
        <f t="shared" si="5"/>
        <v>0</v>
      </c>
      <c r="F44" s="89">
        <f t="shared" si="6"/>
        <v>0</v>
      </c>
      <c r="G44" s="10"/>
      <c r="H44" s="94"/>
      <c r="I44" s="18"/>
      <c r="J44" s="1"/>
      <c r="K44" s="92"/>
      <c r="L44" s="91"/>
      <c r="M44" s="211">
        <v>12</v>
      </c>
      <c r="N44" s="210" t="s">
        <v>135</v>
      </c>
      <c r="O44" s="210"/>
      <c r="P44" s="2"/>
      <c r="Q44" s="2"/>
      <c r="R44" s="2"/>
      <c r="S44" s="2"/>
      <c r="T44" s="2"/>
      <c r="U44" s="2"/>
      <c r="V44" s="2"/>
      <c r="W44" s="1"/>
    </row>
    <row r="45" spans="1:23" x14ac:dyDescent="0.25">
      <c r="A45" s="75"/>
      <c r="B45" s="10"/>
      <c r="C45" s="10"/>
      <c r="D45" s="76">
        <v>0</v>
      </c>
      <c r="E45" s="88">
        <f t="shared" si="5"/>
        <v>0</v>
      </c>
      <c r="F45" s="89">
        <f t="shared" si="6"/>
        <v>0</v>
      </c>
      <c r="G45" s="10"/>
      <c r="H45" s="94"/>
      <c r="I45" s="18"/>
      <c r="J45" s="1"/>
      <c r="K45" s="92">
        <f>+K39/M41</f>
        <v>53.247499999999995</v>
      </c>
      <c r="L45" s="91" t="s">
        <v>91</v>
      </c>
      <c r="M45" s="2"/>
      <c r="N45" s="1"/>
      <c r="O45" s="1"/>
      <c r="P45" s="2"/>
      <c r="Q45" s="2"/>
      <c r="R45" s="2"/>
      <c r="S45" s="2"/>
      <c r="T45" s="2"/>
      <c r="U45" s="2"/>
      <c r="V45" s="2"/>
      <c r="W45" s="1"/>
    </row>
    <row r="46" spans="1:23" x14ac:dyDescent="0.25">
      <c r="A46" s="12" t="s">
        <v>129</v>
      </c>
      <c r="B46" s="10"/>
      <c r="C46" s="14"/>
      <c r="D46" s="77">
        <f>SUM(D33:D45)</f>
        <v>5208.3333333333312</v>
      </c>
      <c r="E46" s="10"/>
      <c r="F46" s="10" t="s">
        <v>45</v>
      </c>
      <c r="G46" s="10"/>
      <c r="H46" s="86">
        <f>SUM(F33:F45)</f>
        <v>5281.2499999999982</v>
      </c>
      <c r="I46" s="18"/>
      <c r="J46" s="1"/>
      <c r="K46" s="92"/>
      <c r="L46" s="91"/>
      <c r="M46" s="2"/>
      <c r="N46" s="1"/>
      <c r="O46" s="1"/>
      <c r="P46" s="2"/>
      <c r="Q46" s="2"/>
      <c r="R46" s="2"/>
      <c r="S46" s="2"/>
      <c r="T46" s="2"/>
      <c r="U46" s="2"/>
      <c r="V46" s="2"/>
      <c r="W46" s="1"/>
    </row>
    <row r="47" spans="1:23" x14ac:dyDescent="0.25">
      <c r="A47" s="95"/>
      <c r="B47" s="15"/>
      <c r="C47" s="15"/>
      <c r="D47" s="96"/>
      <c r="E47" s="97"/>
      <c r="F47" s="97"/>
      <c r="G47" s="15"/>
      <c r="H47" s="98"/>
      <c r="I47" s="18"/>
      <c r="J47" s="1"/>
      <c r="K47" s="92"/>
      <c r="L47" s="91"/>
      <c r="M47" s="2"/>
      <c r="N47" s="1"/>
      <c r="O47" s="1"/>
      <c r="P47" s="2"/>
      <c r="Q47" s="2"/>
      <c r="R47" s="2"/>
      <c r="S47" s="2"/>
      <c r="T47" s="2"/>
      <c r="U47" s="2"/>
      <c r="V47" s="2"/>
      <c r="W47" s="1"/>
    </row>
    <row r="48" spans="1:23" x14ac:dyDescent="0.25">
      <c r="A48" s="95"/>
      <c r="B48" s="15"/>
      <c r="C48" s="15"/>
      <c r="D48" s="96"/>
      <c r="E48" s="97"/>
      <c r="F48" s="97"/>
      <c r="G48" s="15"/>
      <c r="H48" s="98"/>
      <c r="I48" s="18"/>
      <c r="J48" s="1"/>
      <c r="K48" s="92">
        <f>+K13*K41</f>
        <v>45125</v>
      </c>
      <c r="L48" s="91" t="s">
        <v>87</v>
      </c>
      <c r="M48" s="2"/>
      <c r="N48" s="1"/>
      <c r="O48" s="1"/>
      <c r="P48" s="2"/>
      <c r="Q48" s="2"/>
      <c r="R48" s="2"/>
      <c r="S48" s="2"/>
      <c r="T48" s="2"/>
      <c r="U48" s="2"/>
      <c r="V48" s="2"/>
      <c r="W48" s="1"/>
    </row>
    <row r="49" spans="1:23" ht="16.5" thickBot="1" x14ac:dyDescent="0.3">
      <c r="A49" s="101" t="s">
        <v>44</v>
      </c>
      <c r="B49" s="30"/>
      <c r="C49" s="28"/>
      <c r="D49" s="30"/>
      <c r="E49" s="30"/>
      <c r="F49" s="30"/>
      <c r="G49" s="30"/>
      <c r="H49" s="102">
        <f>SUM(H29,H46)</f>
        <v>42520.833333333328</v>
      </c>
      <c r="I49" s="18"/>
      <c r="J49" s="1"/>
      <c r="K49" s="92"/>
      <c r="L49" s="175"/>
      <c r="M49" s="84"/>
      <c r="N49" s="99"/>
      <c r="O49" s="99"/>
      <c r="P49" s="2"/>
      <c r="Q49" s="2"/>
      <c r="R49" s="2"/>
      <c r="S49" s="2"/>
      <c r="T49" s="2"/>
      <c r="U49" s="2"/>
      <c r="V49" s="2"/>
      <c r="W49" s="1"/>
    </row>
    <row r="50" spans="1:23" ht="17.25" thickTop="1" thickBot="1" x14ac:dyDescent="0.3">
      <c r="A50" s="10"/>
      <c r="B50" s="10"/>
      <c r="C50" s="10"/>
      <c r="D50" s="10"/>
      <c r="E50" s="10"/>
      <c r="F50" s="10"/>
      <c r="G50" s="18"/>
      <c r="H50" s="10"/>
      <c r="I50" s="18"/>
      <c r="J50" s="1"/>
      <c r="K50" s="81">
        <f>+K18*K41</f>
        <v>8122.5</v>
      </c>
      <c r="L50" s="83" t="s">
        <v>88</v>
      </c>
      <c r="M50" s="82"/>
      <c r="N50" s="106"/>
      <c r="O50" s="107"/>
      <c r="P50" s="2"/>
      <c r="Q50" s="2"/>
      <c r="R50" s="2"/>
      <c r="S50" s="2"/>
      <c r="T50" s="2"/>
      <c r="U50" s="2"/>
      <c r="V50" s="2"/>
      <c r="W50" s="1"/>
    </row>
    <row r="51" spans="1:23" ht="16.5" thickTop="1" x14ac:dyDescent="0.25">
      <c r="A51" s="142" t="s">
        <v>36</v>
      </c>
      <c r="B51" s="6"/>
      <c r="C51" s="6"/>
      <c r="D51" s="6"/>
      <c r="E51" s="6"/>
      <c r="F51" s="6"/>
      <c r="G51" s="67"/>
      <c r="H51" s="9"/>
      <c r="I51" s="18"/>
      <c r="J51" s="1"/>
      <c r="K51" s="81"/>
      <c r="L51" s="84"/>
      <c r="M51" s="82"/>
      <c r="N51" s="106"/>
      <c r="O51" s="107"/>
      <c r="P51" s="2"/>
      <c r="Q51" s="2"/>
      <c r="R51" s="2"/>
      <c r="S51" s="2"/>
      <c r="T51" s="2"/>
      <c r="U51" s="2"/>
      <c r="V51" s="2"/>
      <c r="W51" s="1"/>
    </row>
    <row r="52" spans="1:23" x14ac:dyDescent="0.25">
      <c r="A52" s="12" t="s">
        <v>46</v>
      </c>
      <c r="B52" s="10"/>
      <c r="C52" s="10"/>
      <c r="D52" s="14"/>
      <c r="E52" s="10"/>
      <c r="F52" s="10"/>
      <c r="G52" s="10"/>
      <c r="H52" s="104">
        <f>(E8-H49)</f>
        <v>2604.166666666657</v>
      </c>
      <c r="I52" s="87"/>
      <c r="J52" s="1"/>
      <c r="K52" s="81">
        <f>+K21*K41</f>
        <v>53247.5</v>
      </c>
      <c r="L52" s="84" t="s">
        <v>89</v>
      </c>
      <c r="M52" s="82"/>
      <c r="N52" s="106"/>
      <c r="O52" s="107"/>
      <c r="P52" s="2"/>
      <c r="Q52" s="2"/>
      <c r="R52" s="2"/>
      <c r="S52" s="2"/>
      <c r="T52" s="2"/>
      <c r="U52" s="2"/>
      <c r="V52" s="2"/>
      <c r="W52" s="1"/>
    </row>
    <row r="53" spans="1:23" x14ac:dyDescent="0.25">
      <c r="A53" s="12"/>
      <c r="B53" s="10"/>
      <c r="C53" s="10"/>
      <c r="D53" s="14"/>
      <c r="E53" s="10"/>
      <c r="F53" s="10"/>
      <c r="G53" s="10"/>
      <c r="H53" s="17"/>
      <c r="I53" s="18"/>
      <c r="J53" s="79"/>
      <c r="K53" s="81"/>
      <c r="L53" s="84"/>
      <c r="M53" s="82"/>
      <c r="N53" s="106"/>
      <c r="O53" s="107"/>
      <c r="P53" s="2"/>
      <c r="Q53" s="2"/>
      <c r="R53" s="2"/>
      <c r="S53" s="2"/>
      <c r="T53" s="2"/>
      <c r="U53" s="2"/>
      <c r="V53" s="2"/>
      <c r="W53" s="1"/>
    </row>
    <row r="54" spans="1:23" x14ac:dyDescent="0.25">
      <c r="A54" s="75" t="s">
        <v>37</v>
      </c>
      <c r="B54" s="10"/>
      <c r="C54" s="10"/>
      <c r="D54" s="76">
        <f>+E8*M9</f>
        <v>2604.1666666666656</v>
      </c>
      <c r="E54" s="97"/>
      <c r="F54" s="97"/>
      <c r="G54" s="10"/>
      <c r="H54" s="17"/>
      <c r="I54" s="18"/>
      <c r="J54" s="1"/>
      <c r="K54" s="81"/>
      <c r="L54" s="84"/>
      <c r="M54" s="84"/>
      <c r="N54" s="106"/>
      <c r="O54" s="107"/>
      <c r="P54" s="2"/>
      <c r="Q54" s="2"/>
      <c r="R54" s="2"/>
      <c r="S54" s="2"/>
      <c r="T54" s="2"/>
      <c r="U54" s="2"/>
      <c r="V54" s="2"/>
      <c r="W54" s="1"/>
    </row>
    <row r="55" spans="1:23" x14ac:dyDescent="0.25">
      <c r="A55" s="75"/>
      <c r="B55" s="10"/>
      <c r="C55" s="10"/>
      <c r="D55" s="76">
        <v>0</v>
      </c>
      <c r="E55" s="97"/>
      <c r="F55" s="97"/>
      <c r="G55" s="10"/>
      <c r="H55" s="17"/>
      <c r="I55" s="87"/>
      <c r="J55" s="78"/>
      <c r="K55" s="81"/>
      <c r="L55" s="84"/>
      <c r="M55" s="82"/>
      <c r="N55" s="106"/>
      <c r="O55" s="106"/>
      <c r="P55" s="2"/>
      <c r="Q55" s="2"/>
      <c r="R55" s="2"/>
      <c r="S55" s="2"/>
      <c r="T55" s="74"/>
      <c r="U55" s="2"/>
      <c r="V55" s="79"/>
      <c r="W55" s="1"/>
    </row>
    <row r="56" spans="1:23" s="100" customFormat="1" x14ac:dyDescent="0.25">
      <c r="A56" s="75"/>
      <c r="B56" s="10"/>
      <c r="C56" s="10"/>
      <c r="D56" s="76">
        <v>0</v>
      </c>
      <c r="E56" s="97"/>
      <c r="F56" s="97"/>
      <c r="G56" s="10"/>
      <c r="H56" s="17"/>
      <c r="I56" s="41"/>
      <c r="J56" s="99"/>
      <c r="K56" s="179">
        <f>+K39-K52</f>
        <v>0</v>
      </c>
      <c r="L56" s="84" t="s">
        <v>136</v>
      </c>
      <c r="M56" s="84"/>
      <c r="N56" s="106"/>
      <c r="O56" s="106"/>
      <c r="P56" s="84"/>
      <c r="Q56" s="84"/>
      <c r="R56" s="84"/>
      <c r="S56" s="84"/>
      <c r="T56" s="84"/>
      <c r="U56" s="84"/>
      <c r="V56" s="84"/>
      <c r="W56" s="99"/>
    </row>
    <row r="57" spans="1:23" s="100" customFormat="1" x14ac:dyDescent="0.25">
      <c r="A57" s="12"/>
      <c r="B57" s="10"/>
      <c r="C57" s="10"/>
      <c r="D57" s="14"/>
      <c r="E57" s="10"/>
      <c r="F57" s="10"/>
      <c r="G57" s="10"/>
      <c r="H57" s="94"/>
      <c r="I57" s="41"/>
      <c r="J57" s="99"/>
      <c r="K57" s="179"/>
      <c r="L57" s="84"/>
      <c r="M57" s="84"/>
      <c r="N57" s="106"/>
      <c r="O57" s="3"/>
      <c r="P57" s="84"/>
      <c r="Q57" s="84"/>
      <c r="R57" s="84"/>
      <c r="S57" s="84"/>
      <c r="T57" s="84"/>
      <c r="U57" s="84"/>
      <c r="V57" s="84"/>
      <c r="W57" s="99"/>
    </row>
    <row r="58" spans="1:23" ht="16.5" thickBot="1" x14ac:dyDescent="0.3">
      <c r="A58" s="101" t="s">
        <v>47</v>
      </c>
      <c r="B58" s="108"/>
      <c r="C58" s="108"/>
      <c r="D58" s="28"/>
      <c r="E58" s="30"/>
      <c r="F58" s="30"/>
      <c r="G58" s="30"/>
      <c r="H58" s="109">
        <f>SUM(D54:D56)</f>
        <v>2604.1666666666656</v>
      </c>
      <c r="I58" s="103"/>
      <c r="J58" s="1"/>
      <c r="K58" s="179">
        <f>+K45-K25</f>
        <v>0</v>
      </c>
      <c r="L58" s="84" t="s">
        <v>137</v>
      </c>
      <c r="M58" s="84"/>
      <c r="P58" s="2"/>
      <c r="Q58" s="2"/>
      <c r="R58" s="2"/>
      <c r="S58" s="2"/>
      <c r="T58" s="2"/>
      <c r="U58" s="2"/>
      <c r="V58" s="2"/>
      <c r="W58" s="1"/>
    </row>
    <row r="59" spans="1:23" ht="17.25" thickTop="1" thickBot="1" x14ac:dyDescent="0.3">
      <c r="A59" s="20"/>
      <c r="B59" s="1"/>
      <c r="C59" s="1"/>
      <c r="D59" s="1"/>
      <c r="E59" s="1"/>
      <c r="F59" s="1"/>
      <c r="G59" s="143"/>
      <c r="H59" s="1"/>
      <c r="I59" s="10"/>
      <c r="J59" s="1"/>
      <c r="K59" s="81"/>
      <c r="L59" s="84"/>
      <c r="M59" s="84"/>
      <c r="P59" s="2"/>
      <c r="Q59" s="2"/>
      <c r="R59" s="2"/>
      <c r="S59" s="2"/>
      <c r="T59" s="2"/>
      <c r="U59" s="2"/>
      <c r="V59" s="2"/>
      <c r="W59" s="1"/>
    </row>
    <row r="60" spans="1:23" ht="16.5" thickTop="1" x14ac:dyDescent="0.25">
      <c r="A60" s="144" t="s">
        <v>20</v>
      </c>
      <c r="B60" s="110"/>
      <c r="C60" s="110"/>
      <c r="D60" s="110"/>
      <c r="E60" s="110"/>
      <c r="F60" s="110"/>
      <c r="G60" s="111"/>
      <c r="H60" s="112"/>
      <c r="I60" s="10"/>
      <c r="J60" s="1"/>
      <c r="P60" s="2"/>
      <c r="Q60" s="2"/>
      <c r="R60" s="2"/>
      <c r="S60" s="2"/>
      <c r="T60" s="2"/>
      <c r="U60" s="2"/>
      <c r="V60" s="2"/>
      <c r="W60" s="1"/>
    </row>
    <row r="61" spans="1:23" x14ac:dyDescent="0.25">
      <c r="A61" s="113"/>
      <c r="B61" s="1"/>
      <c r="C61" s="1"/>
      <c r="D61" s="1"/>
      <c r="E61" s="1"/>
      <c r="F61" s="1"/>
      <c r="G61" s="79"/>
      <c r="H61" s="114"/>
      <c r="I61" s="105"/>
      <c r="J61" s="1"/>
      <c r="K61" s="99"/>
      <c r="L61" s="99"/>
      <c r="M61" s="99"/>
      <c r="N61" s="99"/>
      <c r="O61" s="99"/>
      <c r="P61" s="2"/>
      <c r="Q61" s="2"/>
      <c r="R61" s="2"/>
      <c r="S61" s="2"/>
      <c r="T61" s="2"/>
      <c r="U61" s="2"/>
      <c r="V61" s="2"/>
      <c r="W61" s="1"/>
    </row>
    <row r="62" spans="1:23" x14ac:dyDescent="0.25">
      <c r="A62" s="115" t="s">
        <v>17</v>
      </c>
      <c r="B62" s="116"/>
      <c r="C62" s="116"/>
      <c r="D62" s="117" t="s">
        <v>22</v>
      </c>
      <c r="E62" s="116"/>
      <c r="F62" s="116"/>
      <c r="G62" s="117" t="s">
        <v>5</v>
      </c>
      <c r="H62" s="118" t="s">
        <v>23</v>
      </c>
      <c r="I62" s="18"/>
      <c r="J62" s="1"/>
      <c r="K62" s="99"/>
      <c r="L62" s="99"/>
      <c r="M62" s="99"/>
      <c r="N62" s="99"/>
      <c r="O62" s="99"/>
      <c r="P62" s="2"/>
      <c r="Q62" s="2"/>
      <c r="R62" s="2"/>
      <c r="S62" s="2"/>
      <c r="T62" s="2"/>
      <c r="U62" s="2"/>
      <c r="V62" s="2"/>
      <c r="W62" s="1"/>
    </row>
    <row r="63" spans="1:23" x14ac:dyDescent="0.25">
      <c r="A63" s="119" t="s">
        <v>18</v>
      </c>
      <c r="B63" s="120"/>
      <c r="C63" s="120"/>
      <c r="D63" s="120"/>
      <c r="E63" s="120"/>
      <c r="F63" s="120"/>
      <c r="G63" s="121">
        <f>H12</f>
        <v>53247.499999999985</v>
      </c>
      <c r="H63" s="122"/>
      <c r="I63" s="18"/>
      <c r="J63" s="1"/>
      <c r="K63" s="1"/>
      <c r="L63" s="1"/>
      <c r="M63" s="1"/>
      <c r="N63" s="1"/>
      <c r="O63" s="1"/>
      <c r="P63" s="107"/>
      <c r="Q63" s="107"/>
      <c r="R63" s="107"/>
      <c r="S63" s="107"/>
      <c r="T63" s="107"/>
      <c r="U63" s="107"/>
      <c r="V63" s="107"/>
      <c r="W63" s="106"/>
    </row>
    <row r="64" spans="1:23" x14ac:dyDescent="0.25">
      <c r="A64" s="115" t="str">
        <f>A9</f>
        <v>Inst'l OH on Total Direct Costs (TDC)</v>
      </c>
      <c r="B64" s="116"/>
      <c r="C64" s="116"/>
      <c r="D64" s="116"/>
      <c r="E64" s="116"/>
      <c r="F64" s="116"/>
      <c r="G64" s="124">
        <f>E9</f>
        <v>4061.2499999999986</v>
      </c>
      <c r="H64" s="125">
        <f>G64/$G$63</f>
        <v>7.6271186440677957E-2</v>
      </c>
      <c r="I64" s="18"/>
      <c r="J64" s="1"/>
      <c r="K64" s="1"/>
      <c r="L64" s="1"/>
      <c r="M64" s="1"/>
      <c r="N64" s="1"/>
      <c r="O64" s="2"/>
      <c r="P64" s="107"/>
      <c r="Q64" s="107"/>
      <c r="R64" s="107"/>
      <c r="S64" s="107"/>
      <c r="T64" s="107"/>
      <c r="U64" s="107"/>
      <c r="V64" s="107"/>
      <c r="W64" s="106"/>
    </row>
    <row r="65" spans="1:23" x14ac:dyDescent="0.25">
      <c r="A65" s="115" t="str">
        <f t="shared" ref="A65:A66" si="7">A10</f>
        <v>SCHOOL's Tax on TDC</v>
      </c>
      <c r="B65" s="116"/>
      <c r="C65" s="116"/>
      <c r="D65" s="116"/>
      <c r="E65" s="116"/>
      <c r="F65" s="116"/>
      <c r="G65" s="124">
        <f>E10</f>
        <v>4061.2499999999986</v>
      </c>
      <c r="H65" s="125">
        <f>G65/$G$63</f>
        <v>7.6271186440677957E-2</v>
      </c>
      <c r="I65" s="18"/>
      <c r="J65" s="1"/>
      <c r="K65" s="1"/>
      <c r="L65" s="1"/>
      <c r="M65" s="1"/>
      <c r="N65" s="1"/>
      <c r="O65" s="2"/>
      <c r="P65" s="107"/>
      <c r="Q65" s="107"/>
      <c r="R65" s="107"/>
      <c r="S65" s="107"/>
      <c r="T65" s="107"/>
      <c r="U65" s="107"/>
      <c r="V65" s="107"/>
      <c r="W65" s="106"/>
    </row>
    <row r="66" spans="1:23" x14ac:dyDescent="0.25">
      <c r="A66" s="115" t="str">
        <f t="shared" si="7"/>
        <v>TBD (other  I/C, if needed)</v>
      </c>
      <c r="B66" s="116"/>
      <c r="C66" s="116"/>
      <c r="D66" s="127"/>
      <c r="E66" s="116"/>
      <c r="F66" s="116"/>
      <c r="G66" s="124">
        <f>E11</f>
        <v>0</v>
      </c>
      <c r="H66" s="125">
        <f>G66/$G$63</f>
        <v>0</v>
      </c>
      <c r="I66" s="10"/>
      <c r="J66" s="1"/>
      <c r="K66" s="1"/>
      <c r="L66" s="1"/>
      <c r="M66" s="1"/>
      <c r="N66" s="1"/>
      <c r="O66" s="2"/>
      <c r="P66" s="107"/>
      <c r="Q66" s="107"/>
      <c r="R66" s="107"/>
      <c r="S66" s="107"/>
      <c r="T66" s="107"/>
      <c r="U66" s="107"/>
      <c r="V66" s="107"/>
      <c r="W66" s="106"/>
    </row>
    <row r="67" spans="1:23" x14ac:dyDescent="0.25">
      <c r="A67" s="128"/>
      <c r="B67" s="51"/>
      <c r="C67" s="51"/>
      <c r="D67" s="129"/>
      <c r="E67" s="51"/>
      <c r="F67" s="51"/>
      <c r="G67" s="130"/>
      <c r="H67" s="125"/>
      <c r="I67" s="87"/>
      <c r="J67" s="1"/>
      <c r="K67" s="1"/>
      <c r="L67" s="1"/>
      <c r="M67" s="1"/>
      <c r="N67" s="1"/>
      <c r="O67" s="2"/>
      <c r="P67" s="107"/>
      <c r="Q67" s="107"/>
      <c r="R67" s="107"/>
      <c r="S67" s="107"/>
      <c r="T67" s="107"/>
      <c r="U67" s="107"/>
      <c r="V67" s="107"/>
      <c r="W67" s="106"/>
    </row>
    <row r="68" spans="1:23" x14ac:dyDescent="0.25">
      <c r="A68" s="128" t="s">
        <v>48</v>
      </c>
      <c r="B68" s="51"/>
      <c r="C68" s="51"/>
      <c r="D68" s="129"/>
      <c r="E68" s="51"/>
      <c r="F68" s="131">
        <f>+H29</f>
        <v>37239.583333333328</v>
      </c>
      <c r="G68" s="130"/>
      <c r="H68" s="132">
        <f>F68/$G$63</f>
        <v>0.69936773244440276</v>
      </c>
      <c r="I68" s="1"/>
      <c r="J68" s="1"/>
      <c r="K68" s="1"/>
      <c r="L68" s="1"/>
      <c r="M68" s="1"/>
      <c r="N68" s="106"/>
      <c r="O68" s="107"/>
      <c r="P68" s="107"/>
      <c r="Q68" s="107"/>
      <c r="R68" s="107"/>
      <c r="S68" s="107"/>
      <c r="T68" s="107"/>
      <c r="U68" s="107"/>
      <c r="V68" s="107"/>
      <c r="W68" s="106"/>
    </row>
    <row r="69" spans="1:23" x14ac:dyDescent="0.25">
      <c r="A69" s="128" t="s">
        <v>19</v>
      </c>
      <c r="B69" s="51"/>
      <c r="C69" s="51"/>
      <c r="D69" s="129"/>
      <c r="E69" s="51"/>
      <c r="F69" s="131">
        <f>+H46</f>
        <v>5281.2499999999982</v>
      </c>
      <c r="G69" s="130"/>
      <c r="H69" s="132">
        <f>F69/$G$63</f>
        <v>9.9183060237569828E-2</v>
      </c>
      <c r="I69" s="1"/>
      <c r="J69" s="1"/>
      <c r="P69" s="106"/>
      <c r="Q69" s="106"/>
      <c r="R69" s="106"/>
      <c r="S69" s="106"/>
      <c r="T69" s="106"/>
      <c r="U69" s="106"/>
      <c r="V69" s="106"/>
      <c r="W69" s="106"/>
    </row>
    <row r="70" spans="1:23" x14ac:dyDescent="0.25">
      <c r="A70" s="133" t="s">
        <v>49</v>
      </c>
      <c r="B70" s="116"/>
      <c r="C70" s="116"/>
      <c r="D70" s="127">
        <f>C5</f>
        <v>0</v>
      </c>
      <c r="E70" s="116"/>
      <c r="F70" s="134">
        <f>H29+H46</f>
        <v>42520.833333333328</v>
      </c>
      <c r="G70" s="116"/>
      <c r="H70" s="125"/>
      <c r="I70" s="1"/>
      <c r="J70" s="1"/>
      <c r="P70" s="106"/>
      <c r="Q70" s="106"/>
      <c r="R70" s="106"/>
      <c r="S70" s="106"/>
      <c r="T70" s="106"/>
      <c r="U70" s="106"/>
      <c r="V70" s="106"/>
      <c r="W70" s="106"/>
    </row>
    <row r="71" spans="1:23" x14ac:dyDescent="0.25">
      <c r="A71" s="115" t="s">
        <v>47</v>
      </c>
      <c r="B71" s="116"/>
      <c r="C71" s="116"/>
      <c r="D71" s="127" t="str">
        <f>B4</f>
        <v>TBD - request when contract terms final</v>
      </c>
      <c r="E71" s="116"/>
      <c r="F71" s="134">
        <f>H58</f>
        <v>2604.1666666666656</v>
      </c>
      <c r="G71" s="134">
        <f>F71+F70</f>
        <v>45124.999999999993</v>
      </c>
      <c r="H71" s="125">
        <f>G71/$G$63</f>
        <v>0.84745762711864414</v>
      </c>
      <c r="I71" s="117"/>
      <c r="J71" s="1"/>
    </row>
    <row r="72" spans="1:23" x14ac:dyDescent="0.25">
      <c r="A72" s="135"/>
      <c r="B72" s="51"/>
      <c r="C72" s="51"/>
      <c r="D72" s="51"/>
      <c r="E72" s="51"/>
      <c r="F72" s="51"/>
      <c r="G72" s="51"/>
      <c r="H72" s="125"/>
      <c r="I72" s="123"/>
      <c r="J72" s="51"/>
    </row>
    <row r="73" spans="1:23" ht="16.5" thickBot="1" x14ac:dyDescent="0.3">
      <c r="A73" s="136" t="s">
        <v>4</v>
      </c>
      <c r="B73" s="137"/>
      <c r="C73" s="137"/>
      <c r="D73" s="137"/>
      <c r="E73" s="137"/>
      <c r="F73" s="137"/>
      <c r="G73" s="138"/>
      <c r="H73" s="139">
        <f>SUM(H64:H66, H71)</f>
        <v>1</v>
      </c>
      <c r="I73" s="126"/>
      <c r="J73" s="51"/>
    </row>
    <row r="74" spans="1:23" ht="16.5" thickTop="1" x14ac:dyDescent="0.25">
      <c r="A74" s="51"/>
      <c r="B74" s="51"/>
      <c r="C74" s="51"/>
      <c r="D74" s="51"/>
      <c r="E74" s="51"/>
      <c r="F74" s="131"/>
      <c r="G74" s="123"/>
      <c r="H74" s="51"/>
      <c r="I74" s="126"/>
      <c r="J74" s="51"/>
    </row>
    <row r="75" spans="1:23" x14ac:dyDescent="0.25">
      <c r="A75" s="51" t="s">
        <v>21</v>
      </c>
      <c r="B75" s="51"/>
      <c r="C75" s="51"/>
      <c r="D75" s="51"/>
      <c r="E75" s="51"/>
      <c r="F75" s="51"/>
      <c r="G75" s="51"/>
      <c r="H75" s="51"/>
      <c r="I75" s="126"/>
      <c r="J75" s="51"/>
    </row>
    <row r="76" spans="1:23" x14ac:dyDescent="0.25">
      <c r="A76" s="116" t="s">
        <v>16</v>
      </c>
      <c r="B76" s="116"/>
      <c r="C76" s="51"/>
      <c r="D76" s="51"/>
      <c r="E76" s="51"/>
      <c r="F76" s="134">
        <f>(H12-E9-E10-E11-E12-H49-H58)</f>
        <v>-8.6401996668428183E-12</v>
      </c>
      <c r="G76" s="116" t="s">
        <v>15</v>
      </c>
      <c r="H76" s="51"/>
      <c r="I76" s="126"/>
      <c r="J76" s="51"/>
    </row>
    <row r="77" spans="1:23" x14ac:dyDescent="0.25">
      <c r="A77" s="51"/>
      <c r="B77" s="51"/>
      <c r="C77" s="51"/>
      <c r="D77" s="51"/>
      <c r="E77" s="51"/>
      <c r="F77" s="51"/>
      <c r="G77" s="51"/>
      <c r="H77" s="51"/>
      <c r="I77" s="126"/>
      <c r="J77" s="51"/>
    </row>
    <row r="78" spans="1:23" x14ac:dyDescent="0.25">
      <c r="A78" s="51"/>
      <c r="B78" s="51"/>
      <c r="C78" s="51"/>
      <c r="D78" s="51"/>
      <c r="E78" s="51"/>
      <c r="F78" s="51"/>
      <c r="G78" s="51"/>
      <c r="H78" s="51"/>
      <c r="I78" s="126"/>
      <c r="J78" s="51"/>
    </row>
    <row r="79" spans="1:23" x14ac:dyDescent="0.25">
      <c r="I79" s="126"/>
      <c r="J79" s="51"/>
    </row>
    <row r="80" spans="1:23" x14ac:dyDescent="0.25">
      <c r="I80" s="126"/>
      <c r="J80" s="51"/>
    </row>
    <row r="81" spans="4:10" x14ac:dyDescent="0.25">
      <c r="D81" s="200">
        <f>+(D29+D46+H58)/K39</f>
        <v>0.63578884767672961</v>
      </c>
      <c r="E81" s="3" t="s">
        <v>130</v>
      </c>
      <c r="I81" s="126"/>
      <c r="J81" s="51"/>
    </row>
    <row r="82" spans="4:10" x14ac:dyDescent="0.25">
      <c r="I82" s="126"/>
      <c r="J82" s="51"/>
    </row>
    <row r="83" spans="4:10" x14ac:dyDescent="0.25">
      <c r="I83" s="51"/>
      <c r="J83" s="51"/>
    </row>
    <row r="84" spans="4:10" x14ac:dyDescent="0.25">
      <c r="I84" s="51"/>
      <c r="J84" s="51"/>
    </row>
    <row r="85" spans="4:10" x14ac:dyDescent="0.25">
      <c r="I85" s="51"/>
      <c r="J85" s="51"/>
    </row>
    <row r="86" spans="4:10" x14ac:dyDescent="0.25">
      <c r="I86" s="51"/>
      <c r="J86" s="51"/>
    </row>
    <row r="87" spans="4:10" x14ac:dyDescent="0.25">
      <c r="I87" s="51"/>
      <c r="J87" s="51"/>
    </row>
    <row r="88" spans="4:10" x14ac:dyDescent="0.25">
      <c r="J88" s="51"/>
    </row>
  </sheetData>
  <mergeCells count="2">
    <mergeCell ref="A1:H1"/>
    <mergeCell ref="F12:G12"/>
  </mergeCells>
  <phoneticPr fontId="2" type="noConversion"/>
  <pageMargins left="0.75" right="0.75" top="1" bottom="1" header="0.5" footer="0.5"/>
  <pageSetup scale="53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4" zoomScale="75" zoomScaleNormal="75" workbookViewId="0">
      <selection activeCell="F12" sqref="F12"/>
    </sheetView>
  </sheetViews>
  <sheetFormatPr defaultRowHeight="15" x14ac:dyDescent="0.25"/>
  <cols>
    <col min="1" max="1" width="29.109375" style="158" customWidth="1"/>
    <col min="2" max="2" width="24.5546875" style="158" customWidth="1"/>
    <col min="3" max="4" width="13" style="158" customWidth="1"/>
    <col min="5" max="5" width="16.44140625" style="158" customWidth="1"/>
    <col min="6" max="6" width="14.77734375" style="158" customWidth="1"/>
    <col min="7" max="7" width="11.5546875" style="158" customWidth="1"/>
    <col min="8" max="8" width="8.88671875" style="158"/>
    <col min="9" max="9" width="11.6640625" style="158" customWidth="1"/>
    <col min="10" max="16384" width="8.88671875" style="158"/>
  </cols>
  <sheetData>
    <row r="1" spans="1:9" ht="18.75" x14ac:dyDescent="0.3">
      <c r="A1" s="220" t="s">
        <v>112</v>
      </c>
      <c r="B1" s="220"/>
      <c r="C1" s="220"/>
      <c r="D1" s="220"/>
      <c r="E1" s="220"/>
      <c r="F1" s="220"/>
      <c r="G1" s="220"/>
      <c r="H1" s="220"/>
      <c r="I1" s="220"/>
    </row>
    <row r="2" spans="1:9" ht="15.75" thickBot="1" x14ac:dyDescent="0.3"/>
    <row r="3" spans="1:9" ht="16.5" thickTop="1" x14ac:dyDescent="0.25">
      <c r="A3" s="4" t="s">
        <v>53</v>
      </c>
      <c r="B3" s="141" t="str">
        <f>+'LSUHSC Contract Cost Calculator'!B2</f>
        <v>TBD</v>
      </c>
      <c r="C3" s="5"/>
      <c r="D3" s="5"/>
      <c r="E3" s="6"/>
      <c r="F3" s="7" t="s">
        <v>0</v>
      </c>
      <c r="G3" s="5" t="str">
        <f>+'LSUHSC Contract Cost Calculator'!F2</f>
        <v>SO….-20-XX-XXX</v>
      </c>
      <c r="H3" s="8"/>
      <c r="I3" s="9"/>
    </row>
    <row r="4" spans="1:9" ht="15.75" x14ac:dyDescent="0.25">
      <c r="A4" s="12" t="s">
        <v>54</v>
      </c>
      <c r="B4" s="13" t="str">
        <f>+'LSUHSC Contract Cost Calculator'!B3</f>
        <v>Insert site/hospital</v>
      </c>
      <c r="C4" s="13"/>
      <c r="D4" s="13"/>
      <c r="E4" s="14"/>
      <c r="F4" s="15"/>
      <c r="G4" s="16"/>
      <c r="H4" s="10"/>
      <c r="I4" s="17"/>
    </row>
    <row r="5" spans="1:9" ht="15.75" x14ac:dyDescent="0.25">
      <c r="A5" s="12" t="s">
        <v>12</v>
      </c>
      <c r="B5" s="13" t="str">
        <f>+'LSUHSC Contract Cost Calculator'!B4</f>
        <v>TBD - request when contract terms final</v>
      </c>
      <c r="C5" s="13"/>
      <c r="D5" s="13"/>
      <c r="E5" s="145"/>
      <c r="F5" s="10" t="s">
        <v>57</v>
      </c>
      <c r="G5" s="146" t="str">
        <f>+'LSUHSC Contract Cost Calculator'!F4</f>
        <v>(as needed - optional)</v>
      </c>
      <c r="H5" s="13"/>
      <c r="I5" s="17"/>
    </row>
    <row r="6" spans="1:9" ht="15.75" x14ac:dyDescent="0.25">
      <c r="A6" s="12" t="s">
        <v>25</v>
      </c>
      <c r="B6" s="10"/>
      <c r="C6" s="13"/>
      <c r="D6" s="13"/>
      <c r="E6" s="14"/>
      <c r="F6" s="15"/>
      <c r="G6" s="16"/>
      <c r="H6" s="10"/>
      <c r="I6" s="17"/>
    </row>
    <row r="7" spans="1:9" ht="16.5" thickBot="1" x14ac:dyDescent="0.3">
      <c r="A7" s="25" t="s">
        <v>1</v>
      </c>
      <c r="B7" s="26" t="s">
        <v>2</v>
      </c>
      <c r="C7" s="27">
        <f>+'LSUHSC Contract Cost Calculator'!C6</f>
        <v>43647</v>
      </c>
      <c r="D7" s="27"/>
      <c r="E7" s="28"/>
      <c r="F7" s="29" t="s">
        <v>3</v>
      </c>
      <c r="G7" s="27">
        <f>+'LSUHSC Contract Cost Calculator'!F6</f>
        <v>44012</v>
      </c>
      <c r="H7" s="30"/>
      <c r="I7" s="31"/>
    </row>
    <row r="8" spans="1:9" ht="15.75" thickTop="1" x14ac:dyDescent="0.25"/>
    <row r="10" spans="1:9" ht="15.75" x14ac:dyDescent="0.25">
      <c r="A10" s="90">
        <f>+'LSUHSC Contract Cost Calculator'!K39</f>
        <v>53247.499999999993</v>
      </c>
      <c r="B10" s="91" t="s">
        <v>38</v>
      </c>
      <c r="C10" s="2"/>
      <c r="D10" s="2"/>
      <c r="E10" s="1"/>
      <c r="F10" s="1"/>
    </row>
    <row r="11" spans="1:9" ht="15.75" x14ac:dyDescent="0.25">
      <c r="A11" s="90"/>
      <c r="B11" s="91"/>
      <c r="C11" s="2"/>
      <c r="D11" s="2"/>
      <c r="E11" s="1"/>
      <c r="F11" s="1"/>
    </row>
    <row r="12" spans="1:9" ht="15.75" x14ac:dyDescent="0.25">
      <c r="A12" s="177">
        <f>+'LSUHSC Contract Cost Calculator'!K41</f>
        <v>0.52083333333333337</v>
      </c>
      <c r="B12" s="91" t="s">
        <v>93</v>
      </c>
      <c r="F12" s="2">
        <f>+'LSUHSC Contract Cost Calculator'!M41</f>
        <v>1000</v>
      </c>
      <c r="G12" s="2" t="str">
        <f>+'LSUHSC Contract Cost Calculator'!N41</f>
        <v>Total (add for multi-year; FTEs)</v>
      </c>
      <c r="H12" s="1"/>
    </row>
    <row r="13" spans="1:9" ht="15.75" x14ac:dyDescent="0.25">
      <c r="A13" s="90"/>
      <c r="B13" s="91"/>
      <c r="F13" s="2">
        <f>+'LSUHSC Contract Cost Calculator'!M42</f>
        <v>83.333333333333329</v>
      </c>
      <c r="G13" s="2" t="str">
        <f>+'LSUHSC Contract Cost Calculator'!N42</f>
        <v>Average Monthly Hours Covered</v>
      </c>
      <c r="H13" s="1"/>
    </row>
    <row r="14" spans="1:9" ht="15.75" x14ac:dyDescent="0.25">
      <c r="A14" s="90">
        <f>+'LSUHSC Contract Cost Calculator'!K43</f>
        <v>4437.2916666666661</v>
      </c>
      <c r="B14" s="91" t="s">
        <v>90</v>
      </c>
      <c r="C14" s="2"/>
      <c r="D14" s="2"/>
      <c r="E14" s="1"/>
      <c r="F14" s="1"/>
    </row>
    <row r="15" spans="1:9" ht="15.75" x14ac:dyDescent="0.25">
      <c r="A15" s="90"/>
      <c r="B15" s="91"/>
      <c r="C15" s="2"/>
      <c r="D15" s="2"/>
      <c r="E15" s="1"/>
      <c r="F15" s="1"/>
    </row>
    <row r="16" spans="1:9" ht="15.75" x14ac:dyDescent="0.25">
      <c r="A16" s="90">
        <f>+'LSUHSC Contract Cost Calculator'!K45</f>
        <v>53.247499999999995</v>
      </c>
      <c r="B16" s="91" t="s">
        <v>91</v>
      </c>
      <c r="C16" s="2"/>
      <c r="D16" s="2"/>
      <c r="E16" s="1"/>
      <c r="F16" s="1"/>
    </row>
    <row r="17" spans="1:9" ht="15.75" x14ac:dyDescent="0.25">
      <c r="A17" s="92"/>
      <c r="B17" s="91"/>
      <c r="C17" s="2"/>
      <c r="D17" s="2"/>
      <c r="E17" s="1"/>
      <c r="F17" s="1"/>
    </row>
    <row r="19" spans="1:9" x14ac:dyDescent="0.25">
      <c r="A19" s="192" t="s">
        <v>113</v>
      </c>
      <c r="B19" s="158" t="s">
        <v>114</v>
      </c>
    </row>
    <row r="20" spans="1:9" x14ac:dyDescent="0.25">
      <c r="A20" s="201" t="s">
        <v>125</v>
      </c>
      <c r="B20" s="158" t="s">
        <v>124</v>
      </c>
    </row>
    <row r="22" spans="1:9" ht="60" x14ac:dyDescent="0.25">
      <c r="A22" s="193" t="s">
        <v>128</v>
      </c>
      <c r="B22" s="194" t="s">
        <v>122</v>
      </c>
      <c r="C22" s="194" t="s">
        <v>116</v>
      </c>
      <c r="D22" s="194" t="s">
        <v>127</v>
      </c>
      <c r="E22" s="194" t="s">
        <v>126</v>
      </c>
      <c r="F22" s="194" t="s">
        <v>119</v>
      </c>
      <c r="G22" s="197" t="s">
        <v>117</v>
      </c>
      <c r="H22" s="194"/>
      <c r="I22" s="194" t="s">
        <v>131</v>
      </c>
    </row>
    <row r="24" spans="1:9" x14ac:dyDescent="0.25">
      <c r="A24" s="158" t="s">
        <v>104</v>
      </c>
      <c r="B24" s="188">
        <v>0</v>
      </c>
      <c r="C24" s="196">
        <f t="shared" ref="C24:C35" si="0">+B24-$F$13</f>
        <v>-83.333333333333329</v>
      </c>
      <c r="D24" s="185">
        <f>+$A$14</f>
        <v>4437.2916666666661</v>
      </c>
      <c r="E24" s="187">
        <f>+B24*$A$16</f>
        <v>0</v>
      </c>
      <c r="F24" s="186">
        <f>+C24*$A$16</f>
        <v>-4437.2916666666661</v>
      </c>
      <c r="G24" s="158" t="s">
        <v>118</v>
      </c>
      <c r="I24" s="187">
        <f>+E24*'LSUHSC Contract Cost Calculator'!$D$81</f>
        <v>0</v>
      </c>
    </row>
    <row r="25" spans="1:9" x14ac:dyDescent="0.25">
      <c r="A25" s="158" t="s">
        <v>105</v>
      </c>
      <c r="B25" s="188">
        <v>0</v>
      </c>
      <c r="C25" s="196">
        <f t="shared" si="0"/>
        <v>-83.333333333333329</v>
      </c>
      <c r="D25" s="185">
        <f t="shared" ref="D25:D35" si="1">+$A$14</f>
        <v>4437.2916666666661</v>
      </c>
      <c r="E25" s="187">
        <f t="shared" ref="E25:E35" si="2">+B25*$A$16</f>
        <v>0</v>
      </c>
      <c r="F25" s="186">
        <f t="shared" ref="F25:F35" si="3">+C25*$A$16</f>
        <v>-4437.2916666666661</v>
      </c>
      <c r="G25" s="158" t="s">
        <v>118</v>
      </c>
      <c r="I25" s="187">
        <f>+E25*'LSUHSC Contract Cost Calculator'!$D$81</f>
        <v>0</v>
      </c>
    </row>
    <row r="26" spans="1:9" x14ac:dyDescent="0.25">
      <c r="A26" s="158" t="s">
        <v>106</v>
      </c>
      <c r="B26" s="188">
        <v>0</v>
      </c>
      <c r="C26" s="196">
        <f t="shared" si="0"/>
        <v>-83.333333333333329</v>
      </c>
      <c r="D26" s="185">
        <f t="shared" si="1"/>
        <v>4437.2916666666661</v>
      </c>
      <c r="E26" s="187">
        <f t="shared" si="2"/>
        <v>0</v>
      </c>
      <c r="F26" s="186">
        <f t="shared" si="3"/>
        <v>-4437.2916666666661</v>
      </c>
      <c r="G26" s="158" t="s">
        <v>118</v>
      </c>
      <c r="I26" s="187">
        <f>+E26*'LSUHSC Contract Cost Calculator'!$D$81</f>
        <v>0</v>
      </c>
    </row>
    <row r="27" spans="1:9" x14ac:dyDescent="0.25">
      <c r="A27" s="158" t="s">
        <v>107</v>
      </c>
      <c r="B27" s="188">
        <v>0</v>
      </c>
      <c r="C27" s="196">
        <f t="shared" si="0"/>
        <v>-83.333333333333329</v>
      </c>
      <c r="D27" s="185">
        <f t="shared" si="1"/>
        <v>4437.2916666666661</v>
      </c>
      <c r="E27" s="187">
        <f t="shared" si="2"/>
        <v>0</v>
      </c>
      <c r="F27" s="186">
        <f t="shared" si="3"/>
        <v>-4437.2916666666661</v>
      </c>
      <c r="G27" s="158" t="s">
        <v>118</v>
      </c>
      <c r="I27" s="187">
        <f>+E27*'LSUHSC Contract Cost Calculator'!$D$81</f>
        <v>0</v>
      </c>
    </row>
    <row r="28" spans="1:9" x14ac:dyDescent="0.25">
      <c r="A28" s="158" t="s">
        <v>108</v>
      </c>
      <c r="B28" s="188">
        <v>0</v>
      </c>
      <c r="C28" s="196">
        <f t="shared" si="0"/>
        <v>-83.333333333333329</v>
      </c>
      <c r="D28" s="185">
        <f t="shared" si="1"/>
        <v>4437.2916666666661</v>
      </c>
      <c r="E28" s="187">
        <f t="shared" si="2"/>
        <v>0</v>
      </c>
      <c r="F28" s="186">
        <f t="shared" si="3"/>
        <v>-4437.2916666666661</v>
      </c>
      <c r="G28" s="158" t="s">
        <v>118</v>
      </c>
      <c r="I28" s="187">
        <f>+E28*'LSUHSC Contract Cost Calculator'!$D$81</f>
        <v>0</v>
      </c>
    </row>
    <row r="29" spans="1:9" x14ac:dyDescent="0.25">
      <c r="A29" s="158" t="s">
        <v>109</v>
      </c>
      <c r="B29" s="188">
        <v>0</v>
      </c>
      <c r="C29" s="196">
        <f t="shared" si="0"/>
        <v>-83.333333333333329</v>
      </c>
      <c r="D29" s="185">
        <f t="shared" si="1"/>
        <v>4437.2916666666661</v>
      </c>
      <c r="E29" s="187">
        <f t="shared" si="2"/>
        <v>0</v>
      </c>
      <c r="F29" s="186">
        <f t="shared" si="3"/>
        <v>-4437.2916666666661</v>
      </c>
      <c r="G29" s="158" t="s">
        <v>118</v>
      </c>
      <c r="I29" s="187">
        <f>+E29*'LSUHSC Contract Cost Calculator'!$D$81</f>
        <v>0</v>
      </c>
    </row>
    <row r="30" spans="1:9" x14ac:dyDescent="0.25">
      <c r="A30" s="158" t="s">
        <v>110</v>
      </c>
      <c r="B30" s="188">
        <v>0</v>
      </c>
      <c r="C30" s="196">
        <f t="shared" si="0"/>
        <v>-83.333333333333329</v>
      </c>
      <c r="D30" s="185">
        <f t="shared" si="1"/>
        <v>4437.2916666666661</v>
      </c>
      <c r="E30" s="187">
        <f t="shared" si="2"/>
        <v>0</v>
      </c>
      <c r="F30" s="186">
        <f t="shared" si="3"/>
        <v>-4437.2916666666661</v>
      </c>
      <c r="G30" s="158" t="s">
        <v>118</v>
      </c>
      <c r="I30" s="187">
        <f>+E30*'LSUHSC Contract Cost Calculator'!$D$81</f>
        <v>0</v>
      </c>
    </row>
    <row r="31" spans="1:9" x14ac:dyDescent="0.25">
      <c r="A31" s="158" t="s">
        <v>111</v>
      </c>
      <c r="B31" s="188">
        <v>0</v>
      </c>
      <c r="C31" s="196">
        <f t="shared" si="0"/>
        <v>-83.333333333333329</v>
      </c>
      <c r="D31" s="185">
        <f t="shared" si="1"/>
        <v>4437.2916666666661</v>
      </c>
      <c r="E31" s="187">
        <f t="shared" si="2"/>
        <v>0</v>
      </c>
      <c r="F31" s="186">
        <f t="shared" si="3"/>
        <v>-4437.2916666666661</v>
      </c>
      <c r="G31" s="158" t="s">
        <v>118</v>
      </c>
      <c r="I31" s="187">
        <f>+E31*'LSUHSC Contract Cost Calculator'!$D$81</f>
        <v>0</v>
      </c>
    </row>
    <row r="32" spans="1:9" x14ac:dyDescent="0.25">
      <c r="A32" s="158" t="s">
        <v>100</v>
      </c>
      <c r="B32" s="188">
        <v>0</v>
      </c>
      <c r="C32" s="196">
        <f t="shared" si="0"/>
        <v>-83.333333333333329</v>
      </c>
      <c r="D32" s="185">
        <f t="shared" si="1"/>
        <v>4437.2916666666661</v>
      </c>
      <c r="E32" s="187">
        <f t="shared" si="2"/>
        <v>0</v>
      </c>
      <c r="F32" s="186">
        <f t="shared" si="3"/>
        <v>-4437.2916666666661</v>
      </c>
      <c r="G32" s="158" t="s">
        <v>118</v>
      </c>
      <c r="I32" s="187">
        <f>+E32*'LSUHSC Contract Cost Calculator'!$D$81</f>
        <v>0</v>
      </c>
    </row>
    <row r="33" spans="1:11" x14ac:dyDescent="0.25">
      <c r="A33" s="158" t="s">
        <v>101</v>
      </c>
      <c r="B33" s="188">
        <v>0</v>
      </c>
      <c r="C33" s="196">
        <f t="shared" si="0"/>
        <v>-83.333333333333329</v>
      </c>
      <c r="D33" s="185">
        <f t="shared" si="1"/>
        <v>4437.2916666666661</v>
      </c>
      <c r="E33" s="187">
        <f t="shared" si="2"/>
        <v>0</v>
      </c>
      <c r="F33" s="186">
        <f t="shared" si="3"/>
        <v>-4437.2916666666661</v>
      </c>
      <c r="G33" s="158" t="s">
        <v>118</v>
      </c>
      <c r="I33" s="187">
        <f>+E33*'LSUHSC Contract Cost Calculator'!$D$81</f>
        <v>0</v>
      </c>
    </row>
    <row r="34" spans="1:11" x14ac:dyDescent="0.25">
      <c r="A34" s="158" t="s">
        <v>102</v>
      </c>
      <c r="B34" s="188">
        <v>0</v>
      </c>
      <c r="C34" s="196">
        <f t="shared" si="0"/>
        <v>-83.333333333333329</v>
      </c>
      <c r="D34" s="185">
        <f t="shared" si="1"/>
        <v>4437.2916666666661</v>
      </c>
      <c r="E34" s="187">
        <f t="shared" si="2"/>
        <v>0</v>
      </c>
      <c r="F34" s="186">
        <f t="shared" si="3"/>
        <v>-4437.2916666666661</v>
      </c>
      <c r="G34" s="158" t="s">
        <v>118</v>
      </c>
      <c r="I34" s="187">
        <f>+E34*'LSUHSC Contract Cost Calculator'!$D$81</f>
        <v>0</v>
      </c>
    </row>
    <row r="35" spans="1:11" x14ac:dyDescent="0.25">
      <c r="A35" s="158" t="s">
        <v>103</v>
      </c>
      <c r="B35" s="188">
        <v>0</v>
      </c>
      <c r="C35" s="196">
        <f t="shared" si="0"/>
        <v>-83.333333333333329</v>
      </c>
      <c r="D35" s="185">
        <f t="shared" si="1"/>
        <v>4437.2916666666661</v>
      </c>
      <c r="E35" s="187">
        <f t="shared" si="2"/>
        <v>0</v>
      </c>
      <c r="F35" s="186">
        <f t="shared" si="3"/>
        <v>-4437.2916666666661</v>
      </c>
      <c r="G35" s="158" t="s">
        <v>118</v>
      </c>
      <c r="I35" s="187">
        <f>+E35*'LSUHSC Contract Cost Calculator'!$D$81</f>
        <v>0</v>
      </c>
    </row>
    <row r="36" spans="1:11" x14ac:dyDescent="0.25">
      <c r="I36" s="187"/>
    </row>
    <row r="37" spans="1:11" x14ac:dyDescent="0.25">
      <c r="A37" s="158" t="s">
        <v>121</v>
      </c>
      <c r="B37" s="158">
        <f>SUM(B24:B36)</f>
        <v>0</v>
      </c>
      <c r="C37" s="196">
        <f t="shared" ref="C37:F37" si="4">SUM(C24:C36)</f>
        <v>-1000.0000000000001</v>
      </c>
      <c r="D37" s="196">
        <f>SUM(D24:D35)</f>
        <v>53247.499999999978</v>
      </c>
      <c r="E37" s="187">
        <f t="shared" si="4"/>
        <v>0</v>
      </c>
      <c r="F37" s="186">
        <f t="shared" si="4"/>
        <v>-53247.499999999978</v>
      </c>
      <c r="I37" s="187">
        <f t="shared" ref="I37" si="5">SUM(I24:I36)</f>
        <v>0</v>
      </c>
    </row>
    <row r="39" spans="1:11" x14ac:dyDescent="0.25">
      <c r="A39" s="158" t="s">
        <v>120</v>
      </c>
      <c r="B39" s="195">
        <f>+$F$12-B37</f>
        <v>1000</v>
      </c>
      <c r="C39" s="195"/>
      <c r="D39" s="195"/>
      <c r="E39" s="195"/>
      <c r="F39" s="195"/>
    </row>
    <row r="43" spans="1:11" x14ac:dyDescent="0.25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5">
      <c r="A44" s="202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5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5">
      <c r="A46" s="203"/>
      <c r="B46" s="204"/>
      <c r="C46" s="204"/>
      <c r="D46" s="204"/>
      <c r="E46" s="204"/>
      <c r="F46" s="204"/>
      <c r="G46" s="204"/>
      <c r="H46" s="204"/>
      <c r="I46" s="204"/>
      <c r="J46" s="189"/>
      <c r="K46" s="189"/>
    </row>
    <row r="47" spans="1:11" x14ac:dyDescent="0.25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5">
      <c r="A48" s="189"/>
      <c r="B48" s="189"/>
      <c r="C48" s="205"/>
      <c r="D48" s="205"/>
      <c r="E48" s="191"/>
      <c r="F48" s="190"/>
      <c r="G48" s="189"/>
      <c r="H48" s="189"/>
      <c r="I48" s="191"/>
      <c r="J48" s="189"/>
      <c r="K48" s="189"/>
    </row>
    <row r="49" spans="1:11" x14ac:dyDescent="0.25">
      <c r="A49" s="189"/>
      <c r="B49" s="189"/>
      <c r="C49" s="205"/>
      <c r="D49" s="205"/>
      <c r="E49" s="191"/>
      <c r="F49" s="190"/>
      <c r="G49" s="189"/>
      <c r="H49" s="189"/>
      <c r="I49" s="191"/>
      <c r="J49" s="189"/>
      <c r="K49" s="189"/>
    </row>
    <row r="50" spans="1:11" x14ac:dyDescent="0.25">
      <c r="A50" s="189"/>
      <c r="B50" s="189"/>
      <c r="C50" s="205"/>
      <c r="D50" s="205"/>
      <c r="E50" s="191"/>
      <c r="F50" s="190"/>
      <c r="G50" s="189"/>
      <c r="H50" s="189"/>
      <c r="I50" s="191"/>
      <c r="J50" s="189"/>
      <c r="K50" s="189"/>
    </row>
    <row r="51" spans="1:11" x14ac:dyDescent="0.25">
      <c r="A51" s="189"/>
      <c r="B51" s="189"/>
      <c r="C51" s="205"/>
      <c r="D51" s="205"/>
      <c r="E51" s="191"/>
      <c r="F51" s="190"/>
      <c r="G51" s="189"/>
      <c r="H51" s="189"/>
      <c r="I51" s="191"/>
      <c r="J51" s="189"/>
      <c r="K51" s="189"/>
    </row>
    <row r="52" spans="1:11" x14ac:dyDescent="0.25">
      <c r="A52" s="189"/>
      <c r="B52" s="189"/>
      <c r="C52" s="205"/>
      <c r="D52" s="205"/>
      <c r="E52" s="191"/>
      <c r="F52" s="190"/>
      <c r="G52" s="189"/>
      <c r="H52" s="189"/>
      <c r="I52" s="191"/>
      <c r="J52" s="189"/>
      <c r="K52" s="189"/>
    </row>
    <row r="53" spans="1:11" x14ac:dyDescent="0.25">
      <c r="A53" s="189"/>
      <c r="B53" s="189"/>
      <c r="C53" s="205"/>
      <c r="D53" s="205"/>
      <c r="E53" s="191"/>
      <c r="F53" s="190"/>
      <c r="G53" s="189"/>
      <c r="H53" s="189"/>
      <c r="I53" s="191"/>
      <c r="J53" s="189"/>
      <c r="K53" s="189"/>
    </row>
    <row r="54" spans="1:11" x14ac:dyDescent="0.25">
      <c r="A54" s="189"/>
      <c r="B54" s="189"/>
      <c r="C54" s="205"/>
      <c r="D54" s="205"/>
      <c r="E54" s="191"/>
      <c r="F54" s="190"/>
      <c r="G54" s="189"/>
      <c r="H54" s="189"/>
      <c r="I54" s="191"/>
      <c r="J54" s="189"/>
      <c r="K54" s="189"/>
    </row>
    <row r="55" spans="1:11" x14ac:dyDescent="0.25">
      <c r="A55" s="189"/>
      <c r="B55" s="189"/>
      <c r="C55" s="205"/>
      <c r="D55" s="205"/>
      <c r="E55" s="191"/>
      <c r="F55" s="190"/>
      <c r="G55" s="189"/>
      <c r="H55" s="189"/>
      <c r="I55" s="191"/>
      <c r="J55" s="189"/>
      <c r="K55" s="189"/>
    </row>
    <row r="56" spans="1:11" x14ac:dyDescent="0.25">
      <c r="A56" s="189"/>
      <c r="B56" s="189"/>
      <c r="C56" s="205"/>
      <c r="D56" s="205"/>
      <c r="E56" s="191"/>
      <c r="F56" s="190"/>
      <c r="G56" s="189"/>
      <c r="H56" s="189"/>
      <c r="I56" s="191"/>
      <c r="J56" s="189"/>
      <c r="K56" s="189"/>
    </row>
    <row r="57" spans="1:11" x14ac:dyDescent="0.25">
      <c r="A57" s="189"/>
      <c r="B57" s="189"/>
      <c r="C57" s="205"/>
      <c r="D57" s="205"/>
      <c r="E57" s="191"/>
      <c r="F57" s="190"/>
      <c r="G57" s="189"/>
      <c r="H57" s="189"/>
      <c r="I57" s="191"/>
      <c r="J57" s="189"/>
      <c r="K57" s="189"/>
    </row>
    <row r="58" spans="1:11" x14ac:dyDescent="0.25">
      <c r="A58" s="189"/>
      <c r="B58" s="189"/>
      <c r="C58" s="205"/>
      <c r="D58" s="205"/>
      <c r="E58" s="191"/>
      <c r="F58" s="190"/>
      <c r="G58" s="189"/>
      <c r="H58" s="189"/>
      <c r="I58" s="191"/>
      <c r="J58" s="189"/>
      <c r="K58" s="189"/>
    </row>
    <row r="59" spans="1:11" x14ac:dyDescent="0.25">
      <c r="A59" s="189"/>
      <c r="B59" s="189"/>
      <c r="C59" s="205"/>
      <c r="D59" s="205"/>
      <c r="E59" s="191"/>
      <c r="F59" s="190"/>
      <c r="G59" s="189"/>
      <c r="H59" s="189"/>
      <c r="I59" s="191"/>
      <c r="J59" s="189"/>
      <c r="K59" s="189"/>
    </row>
    <row r="60" spans="1:11" x14ac:dyDescent="0.25">
      <c r="A60" s="189"/>
      <c r="B60" s="189"/>
      <c r="C60" s="189"/>
      <c r="D60" s="189"/>
      <c r="E60" s="189"/>
      <c r="F60" s="189"/>
      <c r="G60" s="189"/>
      <c r="H60" s="189"/>
      <c r="I60" s="191"/>
      <c r="J60" s="189"/>
      <c r="K60" s="189"/>
    </row>
    <row r="61" spans="1:11" x14ac:dyDescent="0.25">
      <c r="A61" s="189"/>
      <c r="B61" s="189"/>
      <c r="C61" s="205"/>
      <c r="D61" s="205"/>
      <c r="E61" s="191"/>
      <c r="F61" s="190"/>
      <c r="G61" s="189"/>
      <c r="H61" s="189"/>
      <c r="I61" s="191"/>
      <c r="J61" s="189"/>
      <c r="K61" s="189"/>
    </row>
    <row r="62" spans="1:11" x14ac:dyDescent="0.25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89"/>
    </row>
    <row r="63" spans="1:11" x14ac:dyDescent="0.25">
      <c r="A63" s="189"/>
      <c r="B63" s="206"/>
      <c r="C63" s="206"/>
      <c r="D63" s="206"/>
      <c r="E63" s="206"/>
      <c r="F63" s="206"/>
      <c r="G63" s="189"/>
      <c r="H63" s="189"/>
      <c r="I63" s="189"/>
      <c r="J63" s="189"/>
      <c r="K63" s="189"/>
    </row>
    <row r="64" spans="1:11" x14ac:dyDescent="0.25">
      <c r="A64" s="189"/>
      <c r="B64" s="189"/>
      <c r="C64" s="189"/>
      <c r="D64" s="189"/>
      <c r="E64" s="189"/>
      <c r="F64" s="189"/>
      <c r="G64" s="189"/>
      <c r="H64" s="189"/>
      <c r="I64" s="189"/>
      <c r="J64" s="189"/>
      <c r="K64" s="189"/>
    </row>
    <row r="65" spans="1:11" x14ac:dyDescent="0.25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</row>
    <row r="66" spans="1:11" x14ac:dyDescent="0.25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4"/>
  <sheetViews>
    <sheetView zoomScale="80" zoomScaleNormal="80" workbookViewId="0">
      <selection activeCell="H27" sqref="H27"/>
    </sheetView>
  </sheetViews>
  <sheetFormatPr defaultRowHeight="15.75" x14ac:dyDescent="0.25"/>
  <cols>
    <col min="1" max="1" width="6.6640625" style="3" customWidth="1"/>
    <col min="2" max="2" width="8" style="3" customWidth="1"/>
    <col min="3" max="3" width="57.109375" style="3" customWidth="1"/>
    <col min="4" max="4" width="21.77734375" style="3" customWidth="1"/>
    <col min="5" max="5" width="10.21875" style="3" customWidth="1"/>
    <col min="6" max="256" width="8.88671875" style="3"/>
    <col min="257" max="257" width="4" style="3" customWidth="1"/>
    <col min="258" max="258" width="3.44140625" style="3" customWidth="1"/>
    <col min="259" max="259" width="57.109375" style="3" customWidth="1"/>
    <col min="260" max="260" width="16.21875" style="3" customWidth="1"/>
    <col min="261" max="512" width="8.88671875" style="3"/>
    <col min="513" max="513" width="4" style="3" customWidth="1"/>
    <col min="514" max="514" width="3.44140625" style="3" customWidth="1"/>
    <col min="515" max="515" width="57.109375" style="3" customWidth="1"/>
    <col min="516" max="516" width="16.21875" style="3" customWidth="1"/>
    <col min="517" max="768" width="8.88671875" style="3"/>
    <col min="769" max="769" width="4" style="3" customWidth="1"/>
    <col min="770" max="770" width="3.44140625" style="3" customWidth="1"/>
    <col min="771" max="771" width="57.109375" style="3" customWidth="1"/>
    <col min="772" max="772" width="16.21875" style="3" customWidth="1"/>
    <col min="773" max="1024" width="8.88671875" style="3"/>
    <col min="1025" max="1025" width="4" style="3" customWidth="1"/>
    <col min="1026" max="1026" width="3.44140625" style="3" customWidth="1"/>
    <col min="1027" max="1027" width="57.109375" style="3" customWidth="1"/>
    <col min="1028" max="1028" width="16.21875" style="3" customWidth="1"/>
    <col min="1029" max="1280" width="8.88671875" style="3"/>
    <col min="1281" max="1281" width="4" style="3" customWidth="1"/>
    <col min="1282" max="1282" width="3.44140625" style="3" customWidth="1"/>
    <col min="1283" max="1283" width="57.109375" style="3" customWidth="1"/>
    <col min="1284" max="1284" width="16.21875" style="3" customWidth="1"/>
    <col min="1285" max="1536" width="8.88671875" style="3"/>
    <col min="1537" max="1537" width="4" style="3" customWidth="1"/>
    <col min="1538" max="1538" width="3.44140625" style="3" customWidth="1"/>
    <col min="1539" max="1539" width="57.109375" style="3" customWidth="1"/>
    <col min="1540" max="1540" width="16.21875" style="3" customWidth="1"/>
    <col min="1541" max="1792" width="8.88671875" style="3"/>
    <col min="1793" max="1793" width="4" style="3" customWidth="1"/>
    <col min="1794" max="1794" width="3.44140625" style="3" customWidth="1"/>
    <col min="1795" max="1795" width="57.109375" style="3" customWidth="1"/>
    <col min="1796" max="1796" width="16.21875" style="3" customWidth="1"/>
    <col min="1797" max="2048" width="8.88671875" style="3"/>
    <col min="2049" max="2049" width="4" style="3" customWidth="1"/>
    <col min="2050" max="2050" width="3.44140625" style="3" customWidth="1"/>
    <col min="2051" max="2051" width="57.109375" style="3" customWidth="1"/>
    <col min="2052" max="2052" width="16.21875" style="3" customWidth="1"/>
    <col min="2053" max="2304" width="8.88671875" style="3"/>
    <col min="2305" max="2305" width="4" style="3" customWidth="1"/>
    <col min="2306" max="2306" width="3.44140625" style="3" customWidth="1"/>
    <col min="2307" max="2307" width="57.109375" style="3" customWidth="1"/>
    <col min="2308" max="2308" width="16.21875" style="3" customWidth="1"/>
    <col min="2309" max="2560" width="8.88671875" style="3"/>
    <col min="2561" max="2561" width="4" style="3" customWidth="1"/>
    <col min="2562" max="2562" width="3.44140625" style="3" customWidth="1"/>
    <col min="2563" max="2563" width="57.109375" style="3" customWidth="1"/>
    <col min="2564" max="2564" width="16.21875" style="3" customWidth="1"/>
    <col min="2565" max="2816" width="8.88671875" style="3"/>
    <col min="2817" max="2817" width="4" style="3" customWidth="1"/>
    <col min="2818" max="2818" width="3.44140625" style="3" customWidth="1"/>
    <col min="2819" max="2819" width="57.109375" style="3" customWidth="1"/>
    <col min="2820" max="2820" width="16.21875" style="3" customWidth="1"/>
    <col min="2821" max="3072" width="8.88671875" style="3"/>
    <col min="3073" max="3073" width="4" style="3" customWidth="1"/>
    <col min="3074" max="3074" width="3.44140625" style="3" customWidth="1"/>
    <col min="3075" max="3075" width="57.109375" style="3" customWidth="1"/>
    <col min="3076" max="3076" width="16.21875" style="3" customWidth="1"/>
    <col min="3077" max="3328" width="8.88671875" style="3"/>
    <col min="3329" max="3329" width="4" style="3" customWidth="1"/>
    <col min="3330" max="3330" width="3.44140625" style="3" customWidth="1"/>
    <col min="3331" max="3331" width="57.109375" style="3" customWidth="1"/>
    <col min="3332" max="3332" width="16.21875" style="3" customWidth="1"/>
    <col min="3333" max="3584" width="8.88671875" style="3"/>
    <col min="3585" max="3585" width="4" style="3" customWidth="1"/>
    <col min="3586" max="3586" width="3.44140625" style="3" customWidth="1"/>
    <col min="3587" max="3587" width="57.109375" style="3" customWidth="1"/>
    <col min="3588" max="3588" width="16.21875" style="3" customWidth="1"/>
    <col min="3589" max="3840" width="8.88671875" style="3"/>
    <col min="3841" max="3841" width="4" style="3" customWidth="1"/>
    <col min="3842" max="3842" width="3.44140625" style="3" customWidth="1"/>
    <col min="3843" max="3843" width="57.109375" style="3" customWidth="1"/>
    <col min="3844" max="3844" width="16.21875" style="3" customWidth="1"/>
    <col min="3845" max="4096" width="8.88671875" style="3"/>
    <col min="4097" max="4097" width="4" style="3" customWidth="1"/>
    <col min="4098" max="4098" width="3.44140625" style="3" customWidth="1"/>
    <col min="4099" max="4099" width="57.109375" style="3" customWidth="1"/>
    <col min="4100" max="4100" width="16.21875" style="3" customWidth="1"/>
    <col min="4101" max="4352" width="8.88671875" style="3"/>
    <col min="4353" max="4353" width="4" style="3" customWidth="1"/>
    <col min="4354" max="4354" width="3.44140625" style="3" customWidth="1"/>
    <col min="4355" max="4355" width="57.109375" style="3" customWidth="1"/>
    <col min="4356" max="4356" width="16.21875" style="3" customWidth="1"/>
    <col min="4357" max="4608" width="8.88671875" style="3"/>
    <col min="4609" max="4609" width="4" style="3" customWidth="1"/>
    <col min="4610" max="4610" width="3.44140625" style="3" customWidth="1"/>
    <col min="4611" max="4611" width="57.109375" style="3" customWidth="1"/>
    <col min="4612" max="4612" width="16.21875" style="3" customWidth="1"/>
    <col min="4613" max="4864" width="8.88671875" style="3"/>
    <col min="4865" max="4865" width="4" style="3" customWidth="1"/>
    <col min="4866" max="4866" width="3.44140625" style="3" customWidth="1"/>
    <col min="4867" max="4867" width="57.109375" style="3" customWidth="1"/>
    <col min="4868" max="4868" width="16.21875" style="3" customWidth="1"/>
    <col min="4869" max="5120" width="8.88671875" style="3"/>
    <col min="5121" max="5121" width="4" style="3" customWidth="1"/>
    <col min="5122" max="5122" width="3.44140625" style="3" customWidth="1"/>
    <col min="5123" max="5123" width="57.109375" style="3" customWidth="1"/>
    <col min="5124" max="5124" width="16.21875" style="3" customWidth="1"/>
    <col min="5125" max="5376" width="8.88671875" style="3"/>
    <col min="5377" max="5377" width="4" style="3" customWidth="1"/>
    <col min="5378" max="5378" width="3.44140625" style="3" customWidth="1"/>
    <col min="5379" max="5379" width="57.109375" style="3" customWidth="1"/>
    <col min="5380" max="5380" width="16.21875" style="3" customWidth="1"/>
    <col min="5381" max="5632" width="8.88671875" style="3"/>
    <col min="5633" max="5633" width="4" style="3" customWidth="1"/>
    <col min="5634" max="5634" width="3.44140625" style="3" customWidth="1"/>
    <col min="5635" max="5635" width="57.109375" style="3" customWidth="1"/>
    <col min="5636" max="5636" width="16.21875" style="3" customWidth="1"/>
    <col min="5637" max="5888" width="8.88671875" style="3"/>
    <col min="5889" max="5889" width="4" style="3" customWidth="1"/>
    <col min="5890" max="5890" width="3.44140625" style="3" customWidth="1"/>
    <col min="5891" max="5891" width="57.109375" style="3" customWidth="1"/>
    <col min="5892" max="5892" width="16.21875" style="3" customWidth="1"/>
    <col min="5893" max="6144" width="8.88671875" style="3"/>
    <col min="6145" max="6145" width="4" style="3" customWidth="1"/>
    <col min="6146" max="6146" width="3.44140625" style="3" customWidth="1"/>
    <col min="6147" max="6147" width="57.109375" style="3" customWidth="1"/>
    <col min="6148" max="6148" width="16.21875" style="3" customWidth="1"/>
    <col min="6149" max="6400" width="8.88671875" style="3"/>
    <col min="6401" max="6401" width="4" style="3" customWidth="1"/>
    <col min="6402" max="6402" width="3.44140625" style="3" customWidth="1"/>
    <col min="6403" max="6403" width="57.109375" style="3" customWidth="1"/>
    <col min="6404" max="6404" width="16.21875" style="3" customWidth="1"/>
    <col min="6405" max="6656" width="8.88671875" style="3"/>
    <col min="6657" max="6657" width="4" style="3" customWidth="1"/>
    <col min="6658" max="6658" width="3.44140625" style="3" customWidth="1"/>
    <col min="6659" max="6659" width="57.109375" style="3" customWidth="1"/>
    <col min="6660" max="6660" width="16.21875" style="3" customWidth="1"/>
    <col min="6661" max="6912" width="8.88671875" style="3"/>
    <col min="6913" max="6913" width="4" style="3" customWidth="1"/>
    <col min="6914" max="6914" width="3.44140625" style="3" customWidth="1"/>
    <col min="6915" max="6915" width="57.109375" style="3" customWidth="1"/>
    <col min="6916" max="6916" width="16.21875" style="3" customWidth="1"/>
    <col min="6917" max="7168" width="8.88671875" style="3"/>
    <col min="7169" max="7169" width="4" style="3" customWidth="1"/>
    <col min="7170" max="7170" width="3.44140625" style="3" customWidth="1"/>
    <col min="7171" max="7171" width="57.109375" style="3" customWidth="1"/>
    <col min="7172" max="7172" width="16.21875" style="3" customWidth="1"/>
    <col min="7173" max="7424" width="8.88671875" style="3"/>
    <col min="7425" max="7425" width="4" style="3" customWidth="1"/>
    <col min="7426" max="7426" width="3.44140625" style="3" customWidth="1"/>
    <col min="7427" max="7427" width="57.109375" style="3" customWidth="1"/>
    <col min="7428" max="7428" width="16.21875" style="3" customWidth="1"/>
    <col min="7429" max="7680" width="8.88671875" style="3"/>
    <col min="7681" max="7681" width="4" style="3" customWidth="1"/>
    <col min="7682" max="7682" width="3.44140625" style="3" customWidth="1"/>
    <col min="7683" max="7683" width="57.109375" style="3" customWidth="1"/>
    <col min="7684" max="7684" width="16.21875" style="3" customWidth="1"/>
    <col min="7685" max="7936" width="8.88671875" style="3"/>
    <col min="7937" max="7937" width="4" style="3" customWidth="1"/>
    <col min="7938" max="7938" width="3.44140625" style="3" customWidth="1"/>
    <col min="7939" max="7939" width="57.109375" style="3" customWidth="1"/>
    <col min="7940" max="7940" width="16.21875" style="3" customWidth="1"/>
    <col min="7941" max="8192" width="8.88671875" style="3"/>
    <col min="8193" max="8193" width="4" style="3" customWidth="1"/>
    <col min="8194" max="8194" width="3.44140625" style="3" customWidth="1"/>
    <col min="8195" max="8195" width="57.109375" style="3" customWidth="1"/>
    <col min="8196" max="8196" width="16.21875" style="3" customWidth="1"/>
    <col min="8197" max="8448" width="8.88671875" style="3"/>
    <col min="8449" max="8449" width="4" style="3" customWidth="1"/>
    <col min="8450" max="8450" width="3.44140625" style="3" customWidth="1"/>
    <col min="8451" max="8451" width="57.109375" style="3" customWidth="1"/>
    <col min="8452" max="8452" width="16.21875" style="3" customWidth="1"/>
    <col min="8453" max="8704" width="8.88671875" style="3"/>
    <col min="8705" max="8705" width="4" style="3" customWidth="1"/>
    <col min="8706" max="8706" width="3.44140625" style="3" customWidth="1"/>
    <col min="8707" max="8707" width="57.109375" style="3" customWidth="1"/>
    <col min="8708" max="8708" width="16.21875" style="3" customWidth="1"/>
    <col min="8709" max="8960" width="8.88671875" style="3"/>
    <col min="8961" max="8961" width="4" style="3" customWidth="1"/>
    <col min="8962" max="8962" width="3.44140625" style="3" customWidth="1"/>
    <col min="8963" max="8963" width="57.109375" style="3" customWidth="1"/>
    <col min="8964" max="8964" width="16.21875" style="3" customWidth="1"/>
    <col min="8965" max="9216" width="8.88671875" style="3"/>
    <col min="9217" max="9217" width="4" style="3" customWidth="1"/>
    <col min="9218" max="9218" width="3.44140625" style="3" customWidth="1"/>
    <col min="9219" max="9219" width="57.109375" style="3" customWidth="1"/>
    <col min="9220" max="9220" width="16.21875" style="3" customWidth="1"/>
    <col min="9221" max="9472" width="8.88671875" style="3"/>
    <col min="9473" max="9473" width="4" style="3" customWidth="1"/>
    <col min="9474" max="9474" width="3.44140625" style="3" customWidth="1"/>
    <col min="9475" max="9475" width="57.109375" style="3" customWidth="1"/>
    <col min="9476" max="9476" width="16.21875" style="3" customWidth="1"/>
    <col min="9477" max="9728" width="8.88671875" style="3"/>
    <col min="9729" max="9729" width="4" style="3" customWidth="1"/>
    <col min="9730" max="9730" width="3.44140625" style="3" customWidth="1"/>
    <col min="9731" max="9731" width="57.109375" style="3" customWidth="1"/>
    <col min="9732" max="9732" width="16.21875" style="3" customWidth="1"/>
    <col min="9733" max="9984" width="8.88671875" style="3"/>
    <col min="9985" max="9985" width="4" style="3" customWidth="1"/>
    <col min="9986" max="9986" width="3.44140625" style="3" customWidth="1"/>
    <col min="9987" max="9987" width="57.109375" style="3" customWidth="1"/>
    <col min="9988" max="9988" width="16.21875" style="3" customWidth="1"/>
    <col min="9989" max="10240" width="8.88671875" style="3"/>
    <col min="10241" max="10241" width="4" style="3" customWidth="1"/>
    <col min="10242" max="10242" width="3.44140625" style="3" customWidth="1"/>
    <col min="10243" max="10243" width="57.109375" style="3" customWidth="1"/>
    <col min="10244" max="10244" width="16.21875" style="3" customWidth="1"/>
    <col min="10245" max="10496" width="8.88671875" style="3"/>
    <col min="10497" max="10497" width="4" style="3" customWidth="1"/>
    <col min="10498" max="10498" width="3.44140625" style="3" customWidth="1"/>
    <col min="10499" max="10499" width="57.109375" style="3" customWidth="1"/>
    <col min="10500" max="10500" width="16.21875" style="3" customWidth="1"/>
    <col min="10501" max="10752" width="8.88671875" style="3"/>
    <col min="10753" max="10753" width="4" style="3" customWidth="1"/>
    <col min="10754" max="10754" width="3.44140625" style="3" customWidth="1"/>
    <col min="10755" max="10755" width="57.109375" style="3" customWidth="1"/>
    <col min="10756" max="10756" width="16.21875" style="3" customWidth="1"/>
    <col min="10757" max="11008" width="8.88671875" style="3"/>
    <col min="11009" max="11009" width="4" style="3" customWidth="1"/>
    <col min="11010" max="11010" width="3.44140625" style="3" customWidth="1"/>
    <col min="11011" max="11011" width="57.109375" style="3" customWidth="1"/>
    <col min="11012" max="11012" width="16.21875" style="3" customWidth="1"/>
    <col min="11013" max="11264" width="8.88671875" style="3"/>
    <col min="11265" max="11265" width="4" style="3" customWidth="1"/>
    <col min="11266" max="11266" width="3.44140625" style="3" customWidth="1"/>
    <col min="11267" max="11267" width="57.109375" style="3" customWidth="1"/>
    <col min="11268" max="11268" width="16.21875" style="3" customWidth="1"/>
    <col min="11269" max="11520" width="8.88671875" style="3"/>
    <col min="11521" max="11521" width="4" style="3" customWidth="1"/>
    <col min="11522" max="11522" width="3.44140625" style="3" customWidth="1"/>
    <col min="11523" max="11523" width="57.109375" style="3" customWidth="1"/>
    <col min="11524" max="11524" width="16.21875" style="3" customWidth="1"/>
    <col min="11525" max="11776" width="8.88671875" style="3"/>
    <col min="11777" max="11777" width="4" style="3" customWidth="1"/>
    <col min="11778" max="11778" width="3.44140625" style="3" customWidth="1"/>
    <col min="11779" max="11779" width="57.109375" style="3" customWidth="1"/>
    <col min="11780" max="11780" width="16.21875" style="3" customWidth="1"/>
    <col min="11781" max="12032" width="8.88671875" style="3"/>
    <col min="12033" max="12033" width="4" style="3" customWidth="1"/>
    <col min="12034" max="12034" width="3.44140625" style="3" customWidth="1"/>
    <col min="12035" max="12035" width="57.109375" style="3" customWidth="1"/>
    <col min="12036" max="12036" width="16.21875" style="3" customWidth="1"/>
    <col min="12037" max="12288" width="8.88671875" style="3"/>
    <col min="12289" max="12289" width="4" style="3" customWidth="1"/>
    <col min="12290" max="12290" width="3.44140625" style="3" customWidth="1"/>
    <col min="12291" max="12291" width="57.109375" style="3" customWidth="1"/>
    <col min="12292" max="12292" width="16.21875" style="3" customWidth="1"/>
    <col min="12293" max="12544" width="8.88671875" style="3"/>
    <col min="12545" max="12545" width="4" style="3" customWidth="1"/>
    <col min="12546" max="12546" width="3.44140625" style="3" customWidth="1"/>
    <col min="12547" max="12547" width="57.109375" style="3" customWidth="1"/>
    <col min="12548" max="12548" width="16.21875" style="3" customWidth="1"/>
    <col min="12549" max="12800" width="8.88671875" style="3"/>
    <col min="12801" max="12801" width="4" style="3" customWidth="1"/>
    <col min="12802" max="12802" width="3.44140625" style="3" customWidth="1"/>
    <col min="12803" max="12803" width="57.109375" style="3" customWidth="1"/>
    <col min="12804" max="12804" width="16.21875" style="3" customWidth="1"/>
    <col min="12805" max="13056" width="8.88671875" style="3"/>
    <col min="13057" max="13057" width="4" style="3" customWidth="1"/>
    <col min="13058" max="13058" width="3.44140625" style="3" customWidth="1"/>
    <col min="13059" max="13059" width="57.109375" style="3" customWidth="1"/>
    <col min="13060" max="13060" width="16.21875" style="3" customWidth="1"/>
    <col min="13061" max="13312" width="8.88671875" style="3"/>
    <col min="13313" max="13313" width="4" style="3" customWidth="1"/>
    <col min="13314" max="13314" width="3.44140625" style="3" customWidth="1"/>
    <col min="13315" max="13315" width="57.109375" style="3" customWidth="1"/>
    <col min="13316" max="13316" width="16.21875" style="3" customWidth="1"/>
    <col min="13317" max="13568" width="8.88671875" style="3"/>
    <col min="13569" max="13569" width="4" style="3" customWidth="1"/>
    <col min="13570" max="13570" width="3.44140625" style="3" customWidth="1"/>
    <col min="13571" max="13571" width="57.109375" style="3" customWidth="1"/>
    <col min="13572" max="13572" width="16.21875" style="3" customWidth="1"/>
    <col min="13573" max="13824" width="8.88671875" style="3"/>
    <col min="13825" max="13825" width="4" style="3" customWidth="1"/>
    <col min="13826" max="13826" width="3.44140625" style="3" customWidth="1"/>
    <col min="13827" max="13827" width="57.109375" style="3" customWidth="1"/>
    <col min="13828" max="13828" width="16.21875" style="3" customWidth="1"/>
    <col min="13829" max="14080" width="8.88671875" style="3"/>
    <col min="14081" max="14081" width="4" style="3" customWidth="1"/>
    <col min="14082" max="14082" width="3.44140625" style="3" customWidth="1"/>
    <col min="14083" max="14083" width="57.109375" style="3" customWidth="1"/>
    <col min="14084" max="14084" width="16.21875" style="3" customWidth="1"/>
    <col min="14085" max="14336" width="8.88671875" style="3"/>
    <col min="14337" max="14337" width="4" style="3" customWidth="1"/>
    <col min="14338" max="14338" width="3.44140625" style="3" customWidth="1"/>
    <col min="14339" max="14339" width="57.109375" style="3" customWidth="1"/>
    <col min="14340" max="14340" width="16.21875" style="3" customWidth="1"/>
    <col min="14341" max="14592" width="8.88671875" style="3"/>
    <col min="14593" max="14593" width="4" style="3" customWidth="1"/>
    <col min="14594" max="14594" width="3.44140625" style="3" customWidth="1"/>
    <col min="14595" max="14595" width="57.109375" style="3" customWidth="1"/>
    <col min="14596" max="14596" width="16.21875" style="3" customWidth="1"/>
    <col min="14597" max="14848" width="8.88671875" style="3"/>
    <col min="14849" max="14849" width="4" style="3" customWidth="1"/>
    <col min="14850" max="14850" width="3.44140625" style="3" customWidth="1"/>
    <col min="14851" max="14851" width="57.109375" style="3" customWidth="1"/>
    <col min="14852" max="14852" width="16.21875" style="3" customWidth="1"/>
    <col min="14853" max="15104" width="8.88671875" style="3"/>
    <col min="15105" max="15105" width="4" style="3" customWidth="1"/>
    <col min="15106" max="15106" width="3.44140625" style="3" customWidth="1"/>
    <col min="15107" max="15107" width="57.109375" style="3" customWidth="1"/>
    <col min="15108" max="15108" width="16.21875" style="3" customWidth="1"/>
    <col min="15109" max="15360" width="8.88671875" style="3"/>
    <col min="15361" max="15361" width="4" style="3" customWidth="1"/>
    <col min="15362" max="15362" width="3.44140625" style="3" customWidth="1"/>
    <col min="15363" max="15363" width="57.109375" style="3" customWidth="1"/>
    <col min="15364" max="15364" width="16.21875" style="3" customWidth="1"/>
    <col min="15365" max="15616" width="8.88671875" style="3"/>
    <col min="15617" max="15617" width="4" style="3" customWidth="1"/>
    <col min="15618" max="15618" width="3.44140625" style="3" customWidth="1"/>
    <col min="15619" max="15619" width="57.109375" style="3" customWidth="1"/>
    <col min="15620" max="15620" width="16.21875" style="3" customWidth="1"/>
    <col min="15621" max="15872" width="8.88671875" style="3"/>
    <col min="15873" max="15873" width="4" style="3" customWidth="1"/>
    <col min="15874" max="15874" width="3.44140625" style="3" customWidth="1"/>
    <col min="15875" max="15875" width="57.109375" style="3" customWidth="1"/>
    <col min="15876" max="15876" width="16.21875" style="3" customWidth="1"/>
    <col min="15877" max="16128" width="8.88671875" style="3"/>
    <col min="16129" max="16129" width="4" style="3" customWidth="1"/>
    <col min="16130" max="16130" width="3.44140625" style="3" customWidth="1"/>
    <col min="16131" max="16131" width="57.109375" style="3" customWidth="1"/>
    <col min="16132" max="16132" width="16.21875" style="3" customWidth="1"/>
    <col min="16133" max="16384" width="8.88671875" style="3"/>
  </cols>
  <sheetData>
    <row r="4" spans="3:9" ht="19.5" thickBot="1" x14ac:dyDescent="0.35">
      <c r="C4" s="149" t="s">
        <v>63</v>
      </c>
      <c r="D4" s="167"/>
      <c r="H4" s="150"/>
      <c r="I4" s="150"/>
    </row>
    <row r="5" spans="3:9" ht="17.25" thickTop="1" thickBot="1" x14ac:dyDescent="0.3">
      <c r="C5" s="151" t="s">
        <v>64</v>
      </c>
      <c r="D5" s="152">
        <f>40*52</f>
        <v>2080</v>
      </c>
    </row>
    <row r="6" spans="3:9" ht="17.25" thickTop="1" thickBot="1" x14ac:dyDescent="0.3">
      <c r="C6" s="153" t="s">
        <v>65</v>
      </c>
      <c r="D6" s="154">
        <v>168</v>
      </c>
    </row>
    <row r="7" spans="3:9" ht="17.25" thickTop="1" thickBot="1" x14ac:dyDescent="0.3">
      <c r="C7" s="153" t="s">
        <v>66</v>
      </c>
      <c r="D7" s="154">
        <v>80</v>
      </c>
    </row>
    <row r="8" spans="3:9" ht="17.25" thickTop="1" thickBot="1" x14ac:dyDescent="0.3">
      <c r="C8" s="153" t="s">
        <v>67</v>
      </c>
      <c r="D8" s="154">
        <v>112</v>
      </c>
    </row>
    <row r="9" spans="3:9" ht="17.25" thickTop="1" thickBot="1" x14ac:dyDescent="0.3">
      <c r="C9" s="155" t="s">
        <v>68</v>
      </c>
      <c r="D9" s="156">
        <f>D5-D6-D7-D8</f>
        <v>1720</v>
      </c>
    </row>
    <row r="10" spans="3:9" ht="17.25" thickTop="1" thickBot="1" x14ac:dyDescent="0.3">
      <c r="C10" s="153" t="s">
        <v>69</v>
      </c>
      <c r="D10" s="157">
        <f>D5/D9</f>
        <v>1.2093023255813953</v>
      </c>
    </row>
    <row r="11" spans="3:9" ht="16.5" thickTop="1" x14ac:dyDescent="0.25">
      <c r="C11" s="158" t="s">
        <v>70</v>
      </c>
      <c r="D11" s="158"/>
    </row>
    <row r="13" spans="3:9" x14ac:dyDescent="0.25">
      <c r="C13" s="158"/>
    </row>
    <row r="15" spans="3:9" x14ac:dyDescent="0.25">
      <c r="D15" s="168">
        <f>+'LSUHSC Contract Cost Calculator'!K39</f>
        <v>53247.499999999993</v>
      </c>
      <c r="E15" s="3" t="s">
        <v>97</v>
      </c>
    </row>
    <row r="17" spans="1:4" x14ac:dyDescent="0.25">
      <c r="A17" s="150" t="s">
        <v>71</v>
      </c>
      <c r="B17" s="150"/>
      <c r="D17" s="150" t="s">
        <v>72</v>
      </c>
    </row>
    <row r="19" spans="1:4" x14ac:dyDescent="0.25">
      <c r="A19" s="3">
        <f>2080</f>
        <v>2080</v>
      </c>
      <c r="B19" s="3" t="s">
        <v>73</v>
      </c>
      <c r="D19" s="169">
        <f>+$D$15/A19</f>
        <v>25.599759615384613</v>
      </c>
    </row>
    <row r="20" spans="1:4" x14ac:dyDescent="0.25">
      <c r="D20" s="169"/>
    </row>
    <row r="21" spans="1:4" x14ac:dyDescent="0.25">
      <c r="A21" s="3">
        <f>2000</f>
        <v>2000</v>
      </c>
      <c r="B21" s="3" t="s">
        <v>74</v>
      </c>
      <c r="D21" s="169">
        <f t="shared" ref="D21:D25" si="0">+$D$15/A21</f>
        <v>26.623749999999998</v>
      </c>
    </row>
    <row r="22" spans="1:4" x14ac:dyDescent="0.25">
      <c r="D22" s="169"/>
    </row>
    <row r="23" spans="1:4" x14ac:dyDescent="0.25">
      <c r="A23" s="167">
        <f>1920</f>
        <v>1920</v>
      </c>
      <c r="B23" s="3" t="s">
        <v>75</v>
      </c>
      <c r="D23" s="169">
        <f t="shared" si="0"/>
        <v>27.733072916666664</v>
      </c>
    </row>
    <row r="24" spans="1:4" x14ac:dyDescent="0.25">
      <c r="D24" s="169"/>
    </row>
    <row r="25" spans="1:4" x14ac:dyDescent="0.25">
      <c r="A25" s="3">
        <f>1586</f>
        <v>1586</v>
      </c>
      <c r="B25" s="3" t="s">
        <v>76</v>
      </c>
      <c r="D25" s="169">
        <f t="shared" si="0"/>
        <v>33.573455233291291</v>
      </c>
    </row>
    <row r="35" spans="4:6" ht="16.5" thickBot="1" x14ac:dyDescent="0.3"/>
    <row r="36" spans="4:6" ht="16.5" thickBot="1" x14ac:dyDescent="0.3">
      <c r="D36" s="159" t="s">
        <v>77</v>
      </c>
      <c r="E36" s="160"/>
      <c r="F36" s="161"/>
    </row>
    <row r="37" spans="4:6" x14ac:dyDescent="0.25">
      <c r="D37" s="170" t="s">
        <v>78</v>
      </c>
      <c r="E37" s="162">
        <f>2080-360</f>
        <v>1720</v>
      </c>
      <c r="F37" s="163"/>
    </row>
    <row r="38" spans="4:6" x14ac:dyDescent="0.25">
      <c r="D38" s="170" t="s">
        <v>79</v>
      </c>
      <c r="E38" s="162">
        <f>E37/12</f>
        <v>143.33333333333334</v>
      </c>
      <c r="F38" s="171"/>
    </row>
    <row r="39" spans="4:6" x14ac:dyDescent="0.25">
      <c r="D39" s="170" t="s">
        <v>80</v>
      </c>
      <c r="E39" s="162">
        <f>(365/7*5)</f>
        <v>260.71428571428572</v>
      </c>
      <c r="F39" s="164" t="s">
        <v>81</v>
      </c>
    </row>
    <row r="40" spans="4:6" x14ac:dyDescent="0.25">
      <c r="D40" s="170" t="s">
        <v>82</v>
      </c>
      <c r="E40" s="162">
        <f>(365/7*2)</f>
        <v>104.28571428571429</v>
      </c>
      <c r="F40" s="171"/>
    </row>
    <row r="41" spans="4:6" x14ac:dyDescent="0.25">
      <c r="D41" s="170" t="s">
        <v>83</v>
      </c>
      <c r="E41" s="162">
        <v>14</v>
      </c>
      <c r="F41" s="165"/>
    </row>
    <row r="42" spans="4:6" ht="16.5" thickBot="1" x14ac:dyDescent="0.3">
      <c r="D42" s="172" t="s">
        <v>84</v>
      </c>
      <c r="E42" s="166">
        <v>52.142857142857146</v>
      </c>
      <c r="F42" s="163"/>
    </row>
    <row r="43" spans="4:6" ht="16.5" thickBot="1" x14ac:dyDescent="0.3">
      <c r="D43" s="173" t="s">
        <v>85</v>
      </c>
      <c r="E43" s="174">
        <f>(E39*12)+(E40*24)</f>
        <v>5631.4285714285716</v>
      </c>
    </row>
    <row r="44" spans="4:6" x14ac:dyDescent="0.25">
      <c r="D44" s="3" t="s">
        <v>86</v>
      </c>
    </row>
  </sheetData>
  <hyperlinks>
    <hyperlink ref="C10" r:id="rId1" display="agaffn@lsuhsc.edu "/>
    <hyperlink ref="C16" r:id="rId2" display="kmart7@lsuhsc.edu "/>
    <hyperlink ref="C6" r:id="rId3" display="lbruni@lsuhsc.edu "/>
    <hyperlink ref="C7" r:id="rId4" display="bcope1@lsuhsc.edu "/>
    <hyperlink ref="C8" r:id="rId5" display="adean2@lsuhsc.edu "/>
    <hyperlink ref="C9" r:id="rId6" display="rdiazd@lsuhsc.edu "/>
    <hyperlink ref="C11" r:id="rId7" display="HGonza@lsuhsc.edu "/>
    <hyperlink ref="C12" r:id="rId8" display="sholm1@lsuhsc.edu "/>
    <hyperlink ref="C15" r:id="rId9" display="elevit@lsuhsc.edu "/>
    <hyperlink ref="C14" r:id="rId10" display="njohns@lsuhsc.edu"/>
    <hyperlink ref="C13" r:id="rId11" display="jjoh30@lsuhsc.edu"/>
    <hyperlink ref="C5" r:id="rId12" display="lborro@lsuhsc.ed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LSUHSC Contract Cost Calculator</vt:lpstr>
      <vt:lpstr>Contract Monitoring Template</vt:lpstr>
      <vt:lpstr>Hours per FTE</vt:lpstr>
      <vt:lpstr>'LSUHSC Contract Cost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PFREEM</dc:creator>
  <cp:lastModifiedBy>Kiara Dorion</cp:lastModifiedBy>
  <cp:lastPrinted>2013-04-11T00:04:39Z</cp:lastPrinted>
  <dcterms:created xsi:type="dcterms:W3CDTF">2002-08-12T21:55:52Z</dcterms:created>
  <dcterms:modified xsi:type="dcterms:W3CDTF">2019-07-30T16:10:51Z</dcterms:modified>
</cp:coreProperties>
</file>